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workbookProtection workbookPassword="EFF1" lockStructure="1"/>
  <bookViews>
    <workbookView xWindow="-15" yWindow="75" windowWidth="14415" windowHeight="15870" activeTab="2"/>
  </bookViews>
  <sheets>
    <sheet name="Help" sheetId="5" r:id="rId1"/>
    <sheet name="Screenshots" sheetId="6" r:id="rId2"/>
    <sheet name="Calculator" sheetId="4" r:id="rId3"/>
    <sheet name="Tables" sheetId="1" state="hidden" r:id="rId4"/>
  </sheets>
  <definedNames>
    <definedName name="_xlnm._FilterDatabase" localSheetId="2" hidden="1">Calculator!$B$32:$B$112</definedName>
    <definedName name="ActiveA">Calculator!$F$160</definedName>
    <definedName name="ActiveB">Calculator!$G$160</definedName>
    <definedName name="ActiveDisplayed">Calculator!$F$168</definedName>
    <definedName name="ActiveHidden">Calculator!$F$169</definedName>
    <definedName name="ActiveOrientations">Calculator!$F$179:$N$179</definedName>
    <definedName name="ActiveOrientationsLowR">Calculator!$F$186:$M$186</definedName>
    <definedName name="AdviceIssuesOnly">Calculator!$AY$31</definedName>
    <definedName name="Aggregates">Calculator!$F$207:$N$207</definedName>
    <definedName name="AggregatesLowR">Calculator!$F$212:$N$212</definedName>
    <definedName name="AllErrors">Calculator!$P$239</definedName>
    <definedName name="AllInputsOK">Calculator!$AX$28</definedName>
    <definedName name="Allowances">Calculator!$F$208:$N$208</definedName>
    <definedName name="AllowancesLowR">Calculator!$F$213:$N$213</definedName>
    <definedName name="Application">Calculator!$P$20</definedName>
    <definedName name="AreaUsed">Calculator!$S$33:$S$112</definedName>
    <definedName name="BinZone8">Calculator!$O$231</definedName>
    <definedName name="Building">Calculator!$B$20</definedName>
    <definedName name="ComplianceErrors">Calculator!$CA$28</definedName>
    <definedName name="ComplianceErrorsLowR">Calculator!$CB$28</definedName>
    <definedName name="ComplianceErrorsTotal">Calculator!$CC$28</definedName>
    <definedName name="Constants">Tables!$D$40:$L$42,Tables!$D$43:$L$45,Tables!$D$46:$L$48,Tables!$D$49:$L$51,Tables!$D$52:$L$54,Tables!$D$55:$L$57,Tables!$D$58:$L$60,Tables!$D$61:$L$63</definedName>
    <definedName name="DudPerformance">Calculator!$AQ$28</definedName>
    <definedName name="DudSector">Calculator!$AJ$28</definedName>
    <definedName name="DudShading">Calculator!$AS$28</definedName>
    <definedName name="DudSize">Calculator!$AN$28</definedName>
    <definedName name="DudTableInputs">Calculator!$AV$28</definedName>
    <definedName name="EmptyA">Calculator!$F$158</definedName>
    <definedName name="EmptyB">Calculator!$G$158</definedName>
    <definedName name="EnergyIndex">Tables!$D$21:$K$22</definedName>
    <definedName name="FacadeErrorsA">Calculator!$O$224</definedName>
    <definedName name="FacadeErrorsB">Calculator!$O$232</definedName>
    <definedName name="Factors">Calculator!$BV$33:$BV$112</definedName>
    <definedName name="FailedSHGA">Calculator!$BP$31</definedName>
    <definedName name="FailedSHGB">Calculator!$BQ$31</definedName>
    <definedName name="First4Inputs">Calculator!$F$154</definedName>
    <definedName name="GlazingAreaA">Calculator!$F$25:$N$25</definedName>
    <definedName name="GlazingAreaB">Calculator!$F$26:$N$26</definedName>
    <definedName name="GlazingPercents">Calculator!$F$195:$M$195</definedName>
    <definedName name="GlazingPercentsLowR">Calculator!$F$200:$M$200</definedName>
    <definedName name="Glimit">Calculator!$AZ$28</definedName>
    <definedName name="Grows">Tables!$D$173:$D$176</definedName>
    <definedName name="Gsteps">Tables!$C$173:$C$176</definedName>
    <definedName name="Help">Help!$E$7</definedName>
    <definedName name="hluNonComplying">Calculator!$F$243:$N$244</definedName>
    <definedName name="hluNonComplyingLowR">Calculator!$F$249:$M$250</definedName>
    <definedName name="InputIssues">Calculator!$AX$31</definedName>
    <definedName name="LastActive">Calculator!$Y$31</definedName>
    <definedName name="LocalErrors">Calculator!$BF$179</definedName>
    <definedName name="NoFacade">Calculator!$F$222:$M$222</definedName>
    <definedName name="NoFacadeLowR">Calculator!$F$229:$M$229</definedName>
    <definedName name="NoSector">Calculator!$AI$28</definedName>
    <definedName name="NoZoneTableActive">Calculator!$F$150</definedName>
    <definedName name="number_of_rows_preferred_in_table_below">Calculator!$B$28</definedName>
    <definedName name="NumberActive">Calculator!$O$178</definedName>
    <definedName name="NumberActiveLowR">Calculator!$O$185</definedName>
    <definedName name="NumberActiveTotal">Calculator!$O$189</definedName>
    <definedName name="NumberListed">Calculator!$O$181</definedName>
    <definedName name="NumberListedLowR">Calculator!$O$188</definedName>
    <definedName name="NumberNonComplying">Calculator!$O$244</definedName>
    <definedName name="NumberNonComplyingLowR">Calculator!$O$250</definedName>
    <definedName name="Orientations">Tables!$D$39:$L$39</definedName>
    <definedName name="OrientationsA">OFFSET(Calculator!$F$180,0,0,1,NumberActive)</definedName>
    <definedName name="OrientationsB">OFFSET(Calculator!$F$187,0,0,1,NumberActiveLowR)</definedName>
    <definedName name="OrphanElements">Calculator!$O$237</definedName>
    <definedName name="OrphanElementsA">Calculator!$O$222</definedName>
    <definedName name="OrphanElementsB">Calculator!$O$229</definedName>
    <definedName name="OutcomesBanner">Calculator!$CD$28</definedName>
    <definedName name="PoverH">Tables!$C$72:$C$82</definedName>
    <definedName name="_xlnm.Print_Area" localSheetId="2">Calculator!$B$17:$U$115</definedName>
    <definedName name="_xlnm.Print_Area" localSheetId="0">Help!$D$9:$F$80</definedName>
    <definedName name="_xlnm.Print_Area" localSheetId="1">Screenshots!$C$5:$E$34</definedName>
    <definedName name="_xlnm.Print_Titles" localSheetId="2">Calculator!$30:$32</definedName>
    <definedName name="_xlnm.Print_Titles" localSheetId="1">Screenshots!$5:$5</definedName>
    <definedName name="Rows">Calculator!$Y$33:$Y$112</definedName>
    <definedName name="RowsActive">Calculator!$AD$31</definedName>
    <definedName name="RowsAvailable">Calculator!$F$166</definedName>
    <definedName name="RowsDisplayed">Calculator!$F$167</definedName>
    <definedName name="RowsOK">Calculator!$AV$31</definedName>
    <definedName name="RowsPreferred">Calculator!$G$28</definedName>
    <definedName name="RowsSkipped">Calculator!$AF$31</definedName>
    <definedName name="RowsWithData">Calculator!$AE$31</definedName>
    <definedName name="ScrS1">Help!$B$21</definedName>
    <definedName name="ScrS2">Help!$B$27</definedName>
    <definedName name="ScrS3">Help!$B$37</definedName>
    <definedName name="SectorFaced">Calculator!$F$33:$F$112</definedName>
    <definedName name="SectorFacedLowR">Calculator!$G$33:$G$112</definedName>
    <definedName name="Sectors">Tables!$D$38:$L$38</definedName>
    <definedName name="ShadingC">Tables!$D$125:$K$168,Tables!$M$125:$T$168,Tables!$V$125:$AC$168,Tables!$AE$125:$AL$168,Tables!$AN$125:$AU$168,Tables!$AW$125:$BD$168,Tables!$BF$125:$BM$168,Tables!$BO$125:$BV$168</definedName>
    <definedName name="ShadingH">Tables!$D$72:$K$115,Tables!$M$72:$T$115,Tables!$V$72:$AC$115,Tables!$AE$72:$AL$115,Tables!$AN$72:$AU$115,Tables!$AW$72:$BD$115,Tables!$BF$72:$BM$115,Tables!$BO$72:$BV$115</definedName>
    <definedName name="ShowPass">Calculator!$CC$24</definedName>
    <definedName name="ShowPassCond">Calculator!$BU$27</definedName>
    <definedName name="SSDisplay">Screenshots!$C$10:$C$42</definedName>
    <definedName name="SSEditing">Screenshots!$C$67:$C$98</definedName>
    <definedName name="SSErrors">Screenshots!$C$123:$C$154</definedName>
    <definedName name="Storey">Calculator!$B$22</definedName>
    <definedName name="SurplusGlazing">Calculator!$O$236</definedName>
    <definedName name="SurplusGlazingA">Calculator!$O$221</definedName>
    <definedName name="SurplusGlazingB">Calculator!$O$228</definedName>
    <definedName name="TableEntries">Calculator!$AC$31</definedName>
    <definedName name="TableInputs">Calculator!$F$33:$N$112</definedName>
    <definedName name="TopInputsOK">Calculator!$F$162</definedName>
    <definedName name="TopOKwithActive">Calculator!$F$170</definedName>
    <definedName name="UnusedFacades">Calculator!$O$235</definedName>
    <definedName name="UnusedFacadesA">Calculator!$O$220</definedName>
    <definedName name="UnusedFacadesB">Calculator!$O$227</definedName>
    <definedName name="ValidApplications">Tables!$B$10:$B$14</definedName>
    <definedName name="VisibleFailures">Calculator!$BC$31</definedName>
    <definedName name="Zone">Calculator!$T$20</definedName>
    <definedName name="ZoneConstants">Calculator!$BK$21:$BS$23</definedName>
    <definedName name="ZoneIndex">Calculator!$BE$20</definedName>
    <definedName name="ZoneIndexLowR">Calculator!$BE$23</definedName>
  </definedNames>
  <calcPr calcId="145621"/>
  <webPublishing targetScreenSize="1024x768" codePage="1252"/>
</workbook>
</file>

<file path=xl/calcChain.xml><?xml version="1.0" encoding="utf-8"?>
<calcChain xmlns="http://schemas.openxmlformats.org/spreadsheetml/2006/main">
  <c r="AP71" i="4" l="1"/>
  <c r="CB71" i="4"/>
  <c r="AP72" i="4"/>
  <c r="CB72" i="4"/>
  <c r="AP73" i="4"/>
  <c r="CB73" i="4"/>
  <c r="AP74" i="4"/>
  <c r="CB74" i="4"/>
  <c r="AP75" i="4"/>
  <c r="CB75" i="4"/>
  <c r="AP76" i="4"/>
  <c r="CB76" i="4"/>
  <c r="AP77" i="4"/>
  <c r="CB77" i="4"/>
  <c r="AP78" i="4"/>
  <c r="CB78" i="4"/>
  <c r="AP79" i="4"/>
  <c r="CB79" i="4"/>
  <c r="AP80" i="4"/>
  <c r="CB80" i="4"/>
  <c r="AP81" i="4"/>
  <c r="CB81" i="4"/>
  <c r="AP82" i="4"/>
  <c r="CB82" i="4"/>
  <c r="AP83" i="4"/>
  <c r="CB83" i="4"/>
  <c r="AP84" i="4"/>
  <c r="CB84" i="4"/>
  <c r="AP85" i="4"/>
  <c r="CB85" i="4"/>
  <c r="AP86" i="4"/>
  <c r="CB86" i="4"/>
  <c r="AP87" i="4"/>
  <c r="CB87" i="4"/>
  <c r="AP88" i="4"/>
  <c r="CB88" i="4"/>
  <c r="AP89" i="4"/>
  <c r="CB89" i="4"/>
  <c r="AP90" i="4"/>
  <c r="CB90" i="4"/>
  <c r="AP91" i="4"/>
  <c r="CB91" i="4"/>
  <c r="AP92" i="4"/>
  <c r="CB92" i="4"/>
  <c r="AP93" i="4"/>
  <c r="CB93" i="4"/>
  <c r="AP94" i="4"/>
  <c r="CB94" i="4"/>
  <c r="AP95" i="4"/>
  <c r="CB95" i="4"/>
  <c r="AP96" i="4"/>
  <c r="CB96" i="4"/>
  <c r="AP97" i="4"/>
  <c r="CB97" i="4"/>
  <c r="AP98" i="4"/>
  <c r="CB98" i="4"/>
  <c r="AP99" i="4"/>
  <c r="CB99" i="4"/>
  <c r="AP100" i="4"/>
  <c r="CB100" i="4"/>
  <c r="AP101" i="4"/>
  <c r="CB101" i="4"/>
  <c r="AP102" i="4"/>
  <c r="CB102" i="4"/>
  <c r="AP103" i="4"/>
  <c r="CB103" i="4"/>
  <c r="AP104" i="4"/>
  <c r="CB104" i="4"/>
  <c r="AP105" i="4"/>
  <c r="CB105" i="4"/>
  <c r="AP106" i="4"/>
  <c r="CB106" i="4"/>
  <c r="AP107" i="4"/>
  <c r="CB107" i="4"/>
  <c r="AP108" i="4"/>
  <c r="CB108" i="4"/>
  <c r="AP109" i="4"/>
  <c r="CB109" i="4"/>
  <c r="AP110" i="4"/>
  <c r="CB110" i="4"/>
  <c r="AP111" i="4"/>
  <c r="CB111" i="4"/>
  <c r="AC71" i="4"/>
  <c r="AE71" i="4"/>
  <c r="AC72" i="4"/>
  <c r="AE72" i="4"/>
  <c r="AC73" i="4"/>
  <c r="AE73" i="4"/>
  <c r="AC74" i="4"/>
  <c r="AE74" i="4"/>
  <c r="AC75" i="4"/>
  <c r="AE75" i="4"/>
  <c r="AC76" i="4"/>
  <c r="AE76" i="4"/>
  <c r="AC77" i="4"/>
  <c r="AE77" i="4"/>
  <c r="AC78" i="4"/>
  <c r="AE78" i="4"/>
  <c r="AC79" i="4"/>
  <c r="AE79" i="4"/>
  <c r="AC80" i="4"/>
  <c r="AE80" i="4"/>
  <c r="AC81" i="4"/>
  <c r="AE81" i="4"/>
  <c r="AC82" i="4"/>
  <c r="AE82" i="4"/>
  <c r="AC83" i="4"/>
  <c r="AE83" i="4"/>
  <c r="AC84" i="4"/>
  <c r="AE84" i="4"/>
  <c r="AC85" i="4"/>
  <c r="AE85" i="4"/>
  <c r="AC86" i="4"/>
  <c r="AE86" i="4"/>
  <c r="AC87" i="4"/>
  <c r="AE87" i="4"/>
  <c r="AC88" i="4"/>
  <c r="AE88" i="4"/>
  <c r="AC89" i="4"/>
  <c r="AE89" i="4"/>
  <c r="AC90" i="4"/>
  <c r="AE90" i="4"/>
  <c r="AC91" i="4"/>
  <c r="AE91" i="4"/>
  <c r="AC92" i="4"/>
  <c r="AM92" i="4" s="1"/>
  <c r="AE92" i="4"/>
  <c r="AC93" i="4"/>
  <c r="AE93" i="4"/>
  <c r="AC94" i="4"/>
  <c r="AE94" i="4"/>
  <c r="AC95" i="4"/>
  <c r="AG95" i="4" s="1"/>
  <c r="AE95" i="4"/>
  <c r="AC96" i="4"/>
  <c r="AK96" i="4" s="1"/>
  <c r="AE96" i="4"/>
  <c r="AC97" i="4"/>
  <c r="AK97" i="4" s="1"/>
  <c r="AJ97" i="4" s="1"/>
  <c r="AE97" i="4"/>
  <c r="AC98" i="4"/>
  <c r="AE98" i="4"/>
  <c r="AC99" i="4"/>
  <c r="AE99" i="4"/>
  <c r="AC100" i="4"/>
  <c r="AE100" i="4"/>
  <c r="AC101" i="4"/>
  <c r="AE101" i="4"/>
  <c r="AC102" i="4"/>
  <c r="AM102" i="4" s="1"/>
  <c r="AE102" i="4"/>
  <c r="AC103" i="4"/>
  <c r="AH103" i="4" s="1"/>
  <c r="AE103" i="4"/>
  <c r="AC104" i="4"/>
  <c r="AE104" i="4"/>
  <c r="AC105" i="4"/>
  <c r="AE105" i="4"/>
  <c r="AC106" i="4"/>
  <c r="AE106" i="4"/>
  <c r="AC107" i="4"/>
  <c r="AE107" i="4"/>
  <c r="AC108" i="4"/>
  <c r="AG108" i="4" s="1"/>
  <c r="AE108" i="4"/>
  <c r="AC109" i="4"/>
  <c r="AH109" i="4" s="1"/>
  <c r="AE109" i="4"/>
  <c r="AC110" i="4"/>
  <c r="AG110" i="4" s="1"/>
  <c r="AE110" i="4"/>
  <c r="AC111" i="4"/>
  <c r="AH111" i="4" s="1"/>
  <c r="AE111" i="4"/>
  <c r="AG100" i="4" l="1"/>
  <c r="AL100" i="4"/>
  <c r="AS100" i="4"/>
  <c r="AH100" i="4"/>
  <c r="AM100" i="4"/>
  <c r="AZ100" i="4"/>
  <c r="AG94" i="4"/>
  <c r="AK94" i="4"/>
  <c r="AJ94" i="4" s="1"/>
  <c r="AM88" i="4"/>
  <c r="AZ88" i="4"/>
  <c r="AG88" i="4"/>
  <c r="AK88" i="4"/>
  <c r="AJ88" i="4" s="1"/>
  <c r="AH88" i="4"/>
  <c r="AL88" i="4"/>
  <c r="AS88" i="4"/>
  <c r="AG84" i="4"/>
  <c r="AK84" i="4"/>
  <c r="AJ84" i="4" s="1"/>
  <c r="AH84" i="4"/>
  <c r="AL84" i="4"/>
  <c r="AS84" i="4"/>
  <c r="AM84" i="4"/>
  <c r="AZ84" i="4"/>
  <c r="AG82" i="4"/>
  <c r="AL82" i="4"/>
  <c r="AS82" i="4"/>
  <c r="AH82" i="4"/>
  <c r="AM82" i="4"/>
  <c r="AZ82" i="4"/>
  <c r="AK82" i="4"/>
  <c r="AJ82" i="4" s="1"/>
  <c r="AK78" i="4"/>
  <c r="AJ78" i="4" s="1"/>
  <c r="AG78" i="4"/>
  <c r="AL78" i="4"/>
  <c r="AS78" i="4"/>
  <c r="AH78" i="4"/>
  <c r="AM78" i="4"/>
  <c r="AZ78" i="4"/>
  <c r="AK76" i="4"/>
  <c r="AJ76" i="4" s="1"/>
  <c r="AG76" i="4"/>
  <c r="AL76" i="4"/>
  <c r="AS76" i="4"/>
  <c r="AH76" i="4"/>
  <c r="AM76" i="4"/>
  <c r="AZ76" i="4"/>
  <c r="AK74" i="4"/>
  <c r="AJ74" i="4" s="1"/>
  <c r="AG74" i="4"/>
  <c r="AL74" i="4"/>
  <c r="AS74" i="4"/>
  <c r="AH74" i="4"/>
  <c r="AM74" i="4"/>
  <c r="AZ74" i="4"/>
  <c r="AZ111" i="4"/>
  <c r="AM111" i="4"/>
  <c r="AZ110" i="4"/>
  <c r="AM110" i="4"/>
  <c r="AH110" i="4"/>
  <c r="AZ109" i="4"/>
  <c r="AM109" i="4"/>
  <c r="AK106" i="4"/>
  <c r="AJ106" i="4" s="1"/>
  <c r="AK105" i="4"/>
  <c r="AJ105" i="4" s="1"/>
  <c r="AG105" i="4"/>
  <c r="AS104" i="4"/>
  <c r="AL104" i="4"/>
  <c r="AG104" i="4"/>
  <c r="AH102" i="4"/>
  <c r="AG96" i="4"/>
  <c r="AH94" i="4"/>
  <c r="AH93" i="4"/>
  <c r="AG103" i="4"/>
  <c r="AK103" i="4"/>
  <c r="AJ103" i="4" s="1"/>
  <c r="AG101" i="4"/>
  <c r="AK101" i="4"/>
  <c r="AH101" i="4"/>
  <c r="AL101" i="4"/>
  <c r="AS101" i="4"/>
  <c r="AH97" i="4"/>
  <c r="AM97" i="4"/>
  <c r="AZ97" i="4"/>
  <c r="AK95" i="4"/>
  <c r="AJ95" i="4" s="1"/>
  <c r="AG91" i="4"/>
  <c r="AL91" i="4"/>
  <c r="AS91" i="4"/>
  <c r="AH91" i="4"/>
  <c r="AM91" i="4"/>
  <c r="AZ91" i="4"/>
  <c r="AH89" i="4"/>
  <c r="AM89" i="4"/>
  <c r="AZ89" i="4"/>
  <c r="AK87" i="4"/>
  <c r="AJ87" i="4" s="1"/>
  <c r="AG87" i="4"/>
  <c r="AL87" i="4"/>
  <c r="AS87" i="4"/>
  <c r="AH87" i="4"/>
  <c r="AM87" i="4"/>
  <c r="AZ87" i="4"/>
  <c r="AK85" i="4"/>
  <c r="AJ85" i="4" s="1"/>
  <c r="AG85" i="4"/>
  <c r="AL85" i="4"/>
  <c r="AS85" i="4"/>
  <c r="AH85" i="4"/>
  <c r="AM85" i="4"/>
  <c r="AZ85" i="4"/>
  <c r="AH81" i="4"/>
  <c r="AL81" i="4"/>
  <c r="AS81" i="4"/>
  <c r="AM81" i="4"/>
  <c r="AZ81" i="4"/>
  <c r="AG81" i="4"/>
  <c r="AK81" i="4"/>
  <c r="AJ81" i="4" s="1"/>
  <c r="AM79" i="4"/>
  <c r="AZ79" i="4"/>
  <c r="AG79" i="4"/>
  <c r="AK79" i="4"/>
  <c r="AJ79" i="4" s="1"/>
  <c r="AH79" i="4"/>
  <c r="AL79" i="4"/>
  <c r="AS79" i="4"/>
  <c r="AG77" i="4"/>
  <c r="AK77" i="4"/>
  <c r="AJ77" i="4" s="1"/>
  <c r="AH77" i="4"/>
  <c r="AL77" i="4"/>
  <c r="AS77" i="4"/>
  <c r="AM77" i="4"/>
  <c r="AZ77" i="4"/>
  <c r="AK75" i="4"/>
  <c r="AJ75" i="4" s="1"/>
  <c r="AG75" i="4"/>
  <c r="AL75" i="4"/>
  <c r="AS75" i="4"/>
  <c r="AH75" i="4"/>
  <c r="AM75" i="4"/>
  <c r="AZ75" i="4"/>
  <c r="AG73" i="4"/>
  <c r="AK73" i="4"/>
  <c r="AJ73" i="4" s="1"/>
  <c r="AH73" i="4"/>
  <c r="AL73" i="4"/>
  <c r="AS73" i="4"/>
  <c r="AM73" i="4"/>
  <c r="AZ73" i="4"/>
  <c r="AG71" i="4"/>
  <c r="AL71" i="4"/>
  <c r="AS71" i="4"/>
  <c r="AH71" i="4"/>
  <c r="AM71" i="4"/>
  <c r="AZ71" i="4"/>
  <c r="AK71" i="4"/>
  <c r="AJ71" i="4" s="1"/>
  <c r="AS111" i="4"/>
  <c r="AL111" i="4"/>
  <c r="AG111" i="4"/>
  <c r="AS110" i="4"/>
  <c r="AL110" i="4"/>
  <c r="AS109" i="4"/>
  <c r="AL109" i="4"/>
  <c r="AZ108" i="4"/>
  <c r="AM108" i="4"/>
  <c r="AH108" i="4"/>
  <c r="AZ107" i="4"/>
  <c r="AM107" i="4"/>
  <c r="AK104" i="4"/>
  <c r="AJ104" i="4" s="1"/>
  <c r="AM103" i="4"/>
  <c r="AK100" i="4"/>
  <c r="AJ100" i="4" s="1"/>
  <c r="AK98" i="4"/>
  <c r="AJ98" i="4" s="1"/>
  <c r="AS97" i="4"/>
  <c r="AG97" i="4"/>
  <c r="AL96" i="4"/>
  <c r="AM95" i="4"/>
  <c r="AM94" i="4"/>
  <c r="AK91" i="4"/>
  <c r="AJ91" i="4" s="1"/>
  <c r="AG90" i="4"/>
  <c r="AL89" i="4"/>
  <c r="AG99" i="4"/>
  <c r="AL99" i="4"/>
  <c r="AS99" i="4"/>
  <c r="AH99" i="4"/>
  <c r="AM99" i="4"/>
  <c r="AZ99" i="4"/>
  <c r="AK93" i="4"/>
  <c r="AJ93" i="4" s="1"/>
  <c r="AG93" i="4"/>
  <c r="AL93" i="4"/>
  <c r="AS93" i="4"/>
  <c r="AG83" i="4"/>
  <c r="AK83" i="4"/>
  <c r="AH83" i="4"/>
  <c r="AL83" i="4"/>
  <c r="AS83" i="4"/>
  <c r="AM83" i="4"/>
  <c r="AZ83" i="4"/>
  <c r="AJ83" i="4"/>
  <c r="AK111" i="4"/>
  <c r="AJ111" i="4" s="1"/>
  <c r="AK110" i="4"/>
  <c r="AJ110" i="4" s="1"/>
  <c r="AK109" i="4"/>
  <c r="AG109" i="4"/>
  <c r="AS108" i="4"/>
  <c r="AL108" i="4"/>
  <c r="AS107" i="4"/>
  <c r="AL107" i="4"/>
  <c r="AH107" i="4"/>
  <c r="AZ106" i="4"/>
  <c r="AM106" i="4"/>
  <c r="AH106" i="4"/>
  <c r="AZ105" i="4"/>
  <c r="AM105" i="4"/>
  <c r="AZ103" i="4"/>
  <c r="AL103" i="4"/>
  <c r="AM101" i="4"/>
  <c r="AZ95" i="4"/>
  <c r="AL95" i="4"/>
  <c r="AZ94" i="4"/>
  <c r="AL94" i="4"/>
  <c r="AM93" i="4"/>
  <c r="AK89" i="4"/>
  <c r="AJ89" i="4" s="1"/>
  <c r="AK102" i="4"/>
  <c r="AJ102" i="4" s="1"/>
  <c r="AG102" i="4"/>
  <c r="AL102" i="4"/>
  <c r="AS102" i="4"/>
  <c r="AH98" i="4"/>
  <c r="AL98" i="4"/>
  <c r="AS98" i="4"/>
  <c r="AM98" i="4"/>
  <c r="AZ98" i="4"/>
  <c r="AM96" i="4"/>
  <c r="AZ96" i="4"/>
  <c r="AJ96" i="4"/>
  <c r="AG92" i="4"/>
  <c r="AK92" i="4"/>
  <c r="AH92" i="4"/>
  <c r="AL92" i="4"/>
  <c r="AS92" i="4"/>
  <c r="AH90" i="4"/>
  <c r="AL90" i="4"/>
  <c r="AS90" i="4"/>
  <c r="AM90" i="4"/>
  <c r="AZ90" i="4"/>
  <c r="AK86" i="4"/>
  <c r="AJ86" i="4" s="1"/>
  <c r="AG86" i="4"/>
  <c r="AL86" i="4"/>
  <c r="AS86" i="4"/>
  <c r="AH86" i="4"/>
  <c r="AM86" i="4"/>
  <c r="AZ86" i="4"/>
  <c r="AH80" i="4"/>
  <c r="AM80" i="4"/>
  <c r="AZ80" i="4"/>
  <c r="AK80" i="4"/>
  <c r="AJ80" i="4" s="1"/>
  <c r="AG80" i="4"/>
  <c r="AL80" i="4"/>
  <c r="AS80" i="4"/>
  <c r="AG72" i="4"/>
  <c r="AL72" i="4"/>
  <c r="AS72" i="4"/>
  <c r="AH72" i="4"/>
  <c r="AM72" i="4"/>
  <c r="AZ72" i="4"/>
  <c r="AK72" i="4"/>
  <c r="AJ72" i="4" s="1"/>
  <c r="AJ109" i="4"/>
  <c r="AK108" i="4"/>
  <c r="AJ108" i="4" s="1"/>
  <c r="AK107" i="4"/>
  <c r="AJ107" i="4" s="1"/>
  <c r="AG107" i="4"/>
  <c r="AS106" i="4"/>
  <c r="AL106" i="4"/>
  <c r="AG106" i="4"/>
  <c r="AS105" i="4"/>
  <c r="AL105" i="4"/>
  <c r="AH105" i="4"/>
  <c r="AZ104" i="4"/>
  <c r="AM104" i="4"/>
  <c r="AH104" i="4"/>
  <c r="AS103" i="4"/>
  <c r="AZ102" i="4"/>
  <c r="AZ101" i="4"/>
  <c r="AJ101" i="4"/>
  <c r="AK99" i="4"/>
  <c r="AJ99" i="4" s="1"/>
  <c r="AG98" i="4"/>
  <c r="AL97" i="4"/>
  <c r="AS96" i="4"/>
  <c r="AH96" i="4"/>
  <c r="AS95" i="4"/>
  <c r="AH95" i="4"/>
  <c r="AS94" i="4"/>
  <c r="AZ93" i="4"/>
  <c r="AZ92" i="4"/>
  <c r="AJ92" i="4"/>
  <c r="AK90" i="4"/>
  <c r="AJ90" i="4" s="1"/>
  <c r="AS89" i="4"/>
  <c r="AG89"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N178" i="4" l="1"/>
  <c r="AZ28" i="4"/>
  <c r="F178" i="4"/>
  <c r="G178" i="4"/>
  <c r="H178" i="4"/>
  <c r="I178" i="4"/>
  <c r="J178" i="4"/>
  <c r="K178" i="4"/>
  <c r="L178" i="4"/>
  <c r="M178" i="4"/>
  <c r="AC37" i="4"/>
  <c r="AS37" i="4" s="1"/>
  <c r="AC36" i="4"/>
  <c r="AK36" i="4" s="1"/>
  <c r="AC35" i="4"/>
  <c r="AZ35" i="4" s="1"/>
  <c r="AC34" i="4"/>
  <c r="AK34" i="4" s="1"/>
  <c r="AC33" i="4"/>
  <c r="AZ33" i="4" s="1"/>
  <c r="AC112" i="4"/>
  <c r="AC70" i="4"/>
  <c r="AC69" i="4"/>
  <c r="AH69" i="4" s="1"/>
  <c r="AC68" i="4"/>
  <c r="AS68" i="4" s="1"/>
  <c r="AC67" i="4"/>
  <c r="AN67" i="4" s="1"/>
  <c r="AC66" i="4"/>
  <c r="AC65" i="4"/>
  <c r="BB65" i="4" s="1"/>
  <c r="AC64" i="4"/>
  <c r="AS64" i="4" s="1"/>
  <c r="AC63" i="4"/>
  <c r="AC62" i="4"/>
  <c r="AC61" i="4"/>
  <c r="AH61" i="4" s="1"/>
  <c r="AC60" i="4"/>
  <c r="AS60" i="4" s="1"/>
  <c r="AC59" i="4"/>
  <c r="AC58" i="4"/>
  <c r="AC57" i="4"/>
  <c r="AG57" i="4" s="1"/>
  <c r="AC56" i="4"/>
  <c r="AS56" i="4" s="1"/>
  <c r="AC55" i="4"/>
  <c r="AC54" i="4"/>
  <c r="AC53" i="4"/>
  <c r="AH53" i="4" s="1"/>
  <c r="AC52" i="4"/>
  <c r="AS52" i="4" s="1"/>
  <c r="AC51" i="4"/>
  <c r="AM51" i="4" s="1"/>
  <c r="AC50" i="4"/>
  <c r="AC49" i="4"/>
  <c r="AK49" i="4" s="1"/>
  <c r="AC48" i="4"/>
  <c r="AS48" i="4" s="1"/>
  <c r="AC47" i="4"/>
  <c r="AC46" i="4"/>
  <c r="AS46" i="4" s="1"/>
  <c r="AC45" i="4"/>
  <c r="AH45" i="4" s="1"/>
  <c r="AC44" i="4"/>
  <c r="AS44" i="4" s="1"/>
  <c r="AC43" i="4"/>
  <c r="AK43" i="4" s="1"/>
  <c r="AJ43" i="4" s="1"/>
  <c r="AC42" i="4"/>
  <c r="AS42" i="4" s="1"/>
  <c r="AC41" i="4"/>
  <c r="AK41" i="4" s="1"/>
  <c r="AC40" i="4"/>
  <c r="AS40" i="4" s="1"/>
  <c r="AC39" i="4"/>
  <c r="AZ39" i="4" s="1"/>
  <c r="AC38" i="4"/>
  <c r="AS38" i="4" s="1"/>
  <c r="F185" i="4"/>
  <c r="G185" i="4"/>
  <c r="H185" i="4"/>
  <c r="I185" i="4"/>
  <c r="J185" i="4"/>
  <c r="K185" i="4"/>
  <c r="L185" i="4"/>
  <c r="M185" i="4"/>
  <c r="AK65" i="4"/>
  <c r="AE37" i="4"/>
  <c r="AE36" i="4"/>
  <c r="AE35" i="4"/>
  <c r="AE34" i="4"/>
  <c r="AE33" i="4"/>
  <c r="S33" i="4"/>
  <c r="F181" i="4"/>
  <c r="F222" i="4" s="1"/>
  <c r="G194" i="4"/>
  <c r="G196" i="4" s="1"/>
  <c r="G221" i="4" s="1"/>
  <c r="G181" i="4"/>
  <c r="G222" i="4" s="1"/>
  <c r="S34" i="4"/>
  <c r="S35" i="4"/>
  <c r="H181" i="4"/>
  <c r="H222" i="4" s="1"/>
  <c r="I181" i="4"/>
  <c r="I222" i="4" s="1"/>
  <c r="S36" i="4"/>
  <c r="I194" i="4" s="1"/>
  <c r="I196" i="4" s="1"/>
  <c r="I221" i="4" s="1"/>
  <c r="S37" i="4"/>
  <c r="J181" i="4"/>
  <c r="J222" i="4" s="1"/>
  <c r="K181" i="4"/>
  <c r="K222" i="4" s="1"/>
  <c r="L181" i="4"/>
  <c r="L222" i="4" s="1"/>
  <c r="M181" i="4"/>
  <c r="M222" i="4" s="1"/>
  <c r="F199" i="4"/>
  <c r="F201" i="4" s="1"/>
  <c r="F228" i="4" s="1"/>
  <c r="F188" i="4"/>
  <c r="F184" i="4"/>
  <c r="F231" i="4"/>
  <c r="G199" i="4"/>
  <c r="G201" i="4" s="1"/>
  <c r="G228" i="4" s="1"/>
  <c r="G188" i="4"/>
  <c r="G184" i="4"/>
  <c r="G231" i="4"/>
  <c r="H199" i="4"/>
  <c r="H201" i="4" s="1"/>
  <c r="H228" i="4" s="1"/>
  <c r="H188" i="4"/>
  <c r="H184" i="4"/>
  <c r="H231" i="4"/>
  <c r="I199" i="4"/>
  <c r="I201" i="4" s="1"/>
  <c r="I228" i="4" s="1"/>
  <c r="I188" i="4"/>
  <c r="I184" i="4"/>
  <c r="I231" i="4"/>
  <c r="J199" i="4"/>
  <c r="J201" i="4" s="1"/>
  <c r="J228" i="4" s="1"/>
  <c r="J188" i="4"/>
  <c r="J184" i="4"/>
  <c r="J231" i="4"/>
  <c r="K199" i="4"/>
  <c r="K201" i="4" s="1"/>
  <c r="K228" i="4" s="1"/>
  <c r="K188" i="4"/>
  <c r="K184" i="4"/>
  <c r="K231" i="4"/>
  <c r="L199" i="4"/>
  <c r="L201" i="4" s="1"/>
  <c r="L228" i="4" s="1"/>
  <c r="L188" i="4"/>
  <c r="L184" i="4"/>
  <c r="L231" i="4"/>
  <c r="M199" i="4"/>
  <c r="M201" i="4" s="1"/>
  <c r="M228" i="4" s="1"/>
  <c r="M188" i="4"/>
  <c r="M184" i="4"/>
  <c r="M231" i="4"/>
  <c r="F150" i="4"/>
  <c r="J150" i="4" s="1"/>
  <c r="CB112" i="4"/>
  <c r="CB70" i="4"/>
  <c r="CB69" i="4"/>
  <c r="CB68" i="4"/>
  <c r="CB67" i="4"/>
  <c r="CB66" i="4"/>
  <c r="CB65" i="4"/>
  <c r="CB64" i="4"/>
  <c r="CB63" i="4"/>
  <c r="CB62" i="4"/>
  <c r="CB61" i="4"/>
  <c r="CB60" i="4"/>
  <c r="CB59" i="4"/>
  <c r="CB58" i="4"/>
  <c r="CB57" i="4"/>
  <c r="CB56" i="4"/>
  <c r="CB55" i="4"/>
  <c r="CB54" i="4"/>
  <c r="CB53" i="4"/>
  <c r="CB52" i="4"/>
  <c r="CB51" i="4"/>
  <c r="CB50" i="4"/>
  <c r="CB49" i="4"/>
  <c r="CB48" i="4"/>
  <c r="CB47" i="4"/>
  <c r="CB46" i="4"/>
  <c r="CB45" i="4"/>
  <c r="CB44" i="4"/>
  <c r="CB43" i="4"/>
  <c r="CB42" i="4"/>
  <c r="CB41" i="4"/>
  <c r="BO21" i="4"/>
  <c r="BO22" i="4"/>
  <c r="BO23" i="4"/>
  <c r="B21" i="1"/>
  <c r="C23" i="1" s="1"/>
  <c r="G21" i="1" s="1"/>
  <c r="F243" i="4"/>
  <c r="G243" i="4"/>
  <c r="H243" i="4"/>
  <c r="I243" i="4"/>
  <c r="J243" i="4"/>
  <c r="BM21" i="4"/>
  <c r="BM22" i="4"/>
  <c r="BM23" i="4"/>
  <c r="BK21" i="4"/>
  <c r="BK22" i="4"/>
  <c r="BK23" i="4"/>
  <c r="AJ24" i="4"/>
  <c r="M26" i="4" s="1"/>
  <c r="AI24" i="4"/>
  <c r="L26" i="4" s="1"/>
  <c r="F152" i="4"/>
  <c r="F153" i="4"/>
  <c r="J153" i="4" s="1"/>
  <c r="D13" i="5"/>
  <c r="D14" i="5" s="1"/>
  <c r="D16" i="5"/>
  <c r="D17" i="5"/>
  <c r="D20" i="5"/>
  <c r="D21" i="5"/>
  <c r="D26" i="5"/>
  <c r="D27" i="5"/>
  <c r="D36" i="5"/>
  <c r="D37" i="5"/>
  <c r="D44" i="5"/>
  <c r="D45" i="5"/>
  <c r="AE38" i="4"/>
  <c r="AE112"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S38" i="4"/>
  <c r="K194" i="4" s="1"/>
  <c r="N181" i="4"/>
  <c r="N222" i="4" s="1"/>
  <c r="AG70" i="4"/>
  <c r="AG66" i="4"/>
  <c r="AG62" i="4"/>
  <c r="AG58" i="4"/>
  <c r="AG54" i="4"/>
  <c r="AG50" i="4"/>
  <c r="AG46" i="4"/>
  <c r="AG45" i="4"/>
  <c r="AH70" i="4"/>
  <c r="AH66" i="4"/>
  <c r="AH62" i="4"/>
  <c r="AH58" i="4"/>
  <c r="AH54" i="4"/>
  <c r="AH50" i="4"/>
  <c r="AH46" i="4"/>
  <c r="F149" i="4"/>
  <c r="F147" i="4"/>
  <c r="F148" i="4"/>
  <c r="J148" i="4" s="1"/>
  <c r="F145" i="4"/>
  <c r="F146" i="4"/>
  <c r="J146" i="4" s="1"/>
  <c r="F162" i="4"/>
  <c r="F167" i="4"/>
  <c r="B32" i="4" s="1"/>
  <c r="N243" i="4"/>
  <c r="S112" i="4"/>
  <c r="M212" i="4"/>
  <c r="L48" i="1"/>
  <c r="L42" i="1"/>
  <c r="L47" i="1"/>
  <c r="L41" i="1"/>
  <c r="L46" i="1"/>
  <c r="L40" i="1"/>
  <c r="L63" i="1"/>
  <c r="L62" i="1"/>
  <c r="L61" i="1"/>
  <c r="L60" i="1"/>
  <c r="L59" i="1"/>
  <c r="L58" i="1"/>
  <c r="L57" i="1"/>
  <c r="L56" i="1"/>
  <c r="L55" i="1"/>
  <c r="L54" i="1"/>
  <c r="BS23" i="4" s="1"/>
  <c r="L53" i="1"/>
  <c r="BS22" i="4" s="1"/>
  <c r="L52" i="1"/>
  <c r="BS21" i="4" s="1"/>
  <c r="L51" i="1"/>
  <c r="L50" i="1"/>
  <c r="L49" i="1"/>
  <c r="L45" i="1"/>
  <c r="L44" i="1"/>
  <c r="L43" i="1"/>
  <c r="E24" i="4"/>
  <c r="D80" i="5"/>
  <c r="C118" i="6"/>
  <c r="C61" i="6"/>
  <c r="C5" i="6"/>
  <c r="F200" i="4"/>
  <c r="G212" i="4"/>
  <c r="J212" i="4"/>
  <c r="BL21" i="4"/>
  <c r="BL22" i="4"/>
  <c r="BL23" i="4"/>
  <c r="F249" i="4"/>
  <c r="G249" i="4"/>
  <c r="H249"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M194" i="4" s="1"/>
  <c r="M196" i="4" s="1"/>
  <c r="M221" i="4" s="1"/>
  <c r="S39" i="4"/>
  <c r="BB70" i="4"/>
  <c r="BB69" i="4"/>
  <c r="BB66" i="4"/>
  <c r="BB62" i="4"/>
  <c r="BB58" i="4"/>
  <c r="BB54" i="4"/>
  <c r="BB50" i="4"/>
  <c r="BB46" i="4"/>
  <c r="I212" i="4"/>
  <c r="K212" i="4"/>
  <c r="AN30"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112" i="4"/>
  <c r="AP33" i="4"/>
  <c r="AZ70" i="4"/>
  <c r="AZ66" i="4"/>
  <c r="AZ62" i="4"/>
  <c r="AZ58" i="4"/>
  <c r="AZ54" i="4"/>
  <c r="AZ50" i="4"/>
  <c r="AZ46" i="4"/>
  <c r="AZ45" i="4"/>
  <c r="AZ38" i="4"/>
  <c r="AS30" i="4"/>
  <c r="AQ30" i="4"/>
  <c r="AG30" i="4"/>
  <c r="F166" i="4"/>
  <c r="BQ21" i="4"/>
  <c r="BQ22" i="4"/>
  <c r="BQ23" i="4"/>
  <c r="BN21" i="4"/>
  <c r="BN22" i="4"/>
  <c r="BN23" i="4"/>
  <c r="BR21" i="4"/>
  <c r="BR22" i="4"/>
  <c r="BR23" i="4"/>
  <c r="G32" i="4"/>
  <c r="I249" i="4"/>
  <c r="J249" i="4"/>
  <c r="K249" i="4"/>
  <c r="L249" i="4"/>
  <c r="K243" i="4"/>
  <c r="L243" i="4"/>
  <c r="M249" i="4"/>
  <c r="M243" i="4"/>
  <c r="I200" i="4"/>
  <c r="J200" i="4"/>
  <c r="K200" i="4"/>
  <c r="M200" i="4"/>
  <c r="BP22" i="4"/>
  <c r="BP23" i="4"/>
  <c r="BP21" i="4"/>
  <c r="G200" i="4"/>
  <c r="G195" i="4"/>
  <c r="AN60" i="4"/>
  <c r="AI46" i="4"/>
  <c r="AN46" i="4"/>
  <c r="J194" i="4"/>
  <c r="J196" i="4" s="1"/>
  <c r="J221" i="4" s="1"/>
  <c r="AL49" i="4"/>
  <c r="AS57" i="4"/>
  <c r="AN69" i="4"/>
  <c r="AK42" i="4"/>
  <c r="AJ42" i="4" s="1"/>
  <c r="AL46" i="4"/>
  <c r="AM46" i="4"/>
  <c r="AK46" i="4"/>
  <c r="AJ46" i="4"/>
  <c r="AL50" i="4"/>
  <c r="AM50" i="4"/>
  <c r="AK50" i="4"/>
  <c r="AJ50" i="4" s="1"/>
  <c r="AL54" i="4"/>
  <c r="AM54" i="4"/>
  <c r="AK54" i="4"/>
  <c r="AJ54" i="4" s="1"/>
  <c r="AL58" i="4"/>
  <c r="AM58" i="4"/>
  <c r="AK58" i="4"/>
  <c r="AJ58" i="4" s="1"/>
  <c r="AL62" i="4"/>
  <c r="AM62" i="4"/>
  <c r="AK62" i="4"/>
  <c r="AJ62" i="4" s="1"/>
  <c r="AL66" i="4"/>
  <c r="AM66" i="4"/>
  <c r="AK66" i="4"/>
  <c r="AJ66" i="4" s="1"/>
  <c r="AL70" i="4"/>
  <c r="AM70" i="4"/>
  <c r="AJ70" i="4"/>
  <c r="AK70" i="4"/>
  <c r="AI70" i="4"/>
  <c r="AL112" i="4"/>
  <c r="AI65" i="4"/>
  <c r="AK35" i="4"/>
  <c r="AJ35" i="4" s="1"/>
  <c r="AM45" i="4"/>
  <c r="AI50" i="4"/>
  <c r="AI54" i="4"/>
  <c r="AI58" i="4"/>
  <c r="AI62" i="4"/>
  <c r="AI66" i="4"/>
  <c r="AS50" i="4"/>
  <c r="AS54" i="4"/>
  <c r="AS58" i="4"/>
  <c r="AS62" i="4"/>
  <c r="AS66" i="4"/>
  <c r="AS70" i="4"/>
  <c r="AN54" i="4"/>
  <c r="AN62" i="4"/>
  <c r="AK61" i="4" l="1"/>
  <c r="AJ61" i="4" s="1"/>
  <c r="AM61" i="4"/>
  <c r="AI49" i="4"/>
  <c r="AL65" i="4"/>
  <c r="AN53" i="4"/>
  <c r="AZ61" i="4"/>
  <c r="BB49" i="4"/>
  <c r="AH57" i="4"/>
  <c r="AG61" i="4"/>
  <c r="K196" i="4"/>
  <c r="K221" i="4" s="1"/>
  <c r="K195" i="4"/>
  <c r="J195" i="4"/>
  <c r="M195" i="4"/>
  <c r="I195" i="4"/>
  <c r="BB52" i="4"/>
  <c r="AI68" i="4"/>
  <c r="AH56" i="4"/>
  <c r="AG48" i="4"/>
  <c r="AL52" i="4"/>
  <c r="AK48" i="4"/>
  <c r="AJ48" i="4" s="1"/>
  <c r="AM64" i="4"/>
  <c r="AL60" i="4"/>
  <c r="AM56" i="4"/>
  <c r="AM52" i="4"/>
  <c r="AZ44" i="4"/>
  <c r="BB60" i="4"/>
  <c r="AG56" i="4"/>
  <c r="AL68" i="4"/>
  <c r="AK64" i="4"/>
  <c r="AJ64" i="4" s="1"/>
  <c r="AM44" i="4"/>
  <c r="AI44" i="4"/>
  <c r="AH48" i="4"/>
  <c r="H194" i="4"/>
  <c r="H196" i="4" s="1"/>
  <c r="H221" i="4" s="1"/>
  <c r="AK56" i="4"/>
  <c r="AJ56" i="4" s="1"/>
  <c r="F179" i="4"/>
  <c r="F180" i="4" s="1"/>
  <c r="O231" i="4"/>
  <c r="AK44" i="4"/>
  <c r="AJ44" i="4" s="1"/>
  <c r="AN44" i="4"/>
  <c r="AN64" i="4"/>
  <c r="AN48" i="4"/>
  <c r="BB64" i="4"/>
  <c r="AZ48" i="4"/>
  <c r="AZ56" i="4"/>
  <c r="AZ64" i="4"/>
  <c r="BB68" i="4"/>
  <c r="AH60" i="4"/>
  <c r="AH68" i="4"/>
  <c r="AG68" i="4"/>
  <c r="AN68" i="4"/>
  <c r="AK68" i="4"/>
  <c r="AJ68" i="4" s="1"/>
  <c r="AL64" i="4"/>
  <c r="AK60" i="4"/>
  <c r="AJ60" i="4" s="1"/>
  <c r="AL56" i="4"/>
  <c r="AK52" i="4"/>
  <c r="AM48" i="4"/>
  <c r="AL44" i="4"/>
  <c r="AN56" i="4"/>
  <c r="BB48" i="4"/>
  <c r="AZ52" i="4"/>
  <c r="AZ60" i="4"/>
  <c r="AZ68" i="4"/>
  <c r="BB44" i="4"/>
  <c r="AH64" i="4"/>
  <c r="AG44" i="4"/>
  <c r="AG64" i="4"/>
  <c r="AM68" i="4"/>
  <c r="AM60" i="4"/>
  <c r="AJ52" i="4"/>
  <c r="AL48" i="4"/>
  <c r="AN52" i="4"/>
  <c r="BB56" i="4"/>
  <c r="AH44" i="4"/>
  <c r="AH52" i="4"/>
  <c r="AG52" i="4"/>
  <c r="AG60" i="4"/>
  <c r="H186" i="4"/>
  <c r="H187" i="4" s="1"/>
  <c r="AZ40" i="4"/>
  <c r="AM57" i="4"/>
  <c r="AI61" i="4"/>
  <c r="AM69" i="4"/>
  <c r="AI57" i="4"/>
  <c r="AS65" i="4"/>
  <c r="AN61" i="4"/>
  <c r="AL57" i="4"/>
  <c r="AS49" i="4"/>
  <c r="AN45" i="4"/>
  <c r="BB61" i="4"/>
  <c r="AZ53" i="4"/>
  <c r="AZ65" i="4"/>
  <c r="BB45" i="4"/>
  <c r="BB53" i="4"/>
  <c r="AH49" i="4"/>
  <c r="AH65" i="4"/>
  <c r="AG53" i="4"/>
  <c r="AG69" i="4"/>
  <c r="AF46" i="4"/>
  <c r="AF54" i="4"/>
  <c r="AD57" i="4"/>
  <c r="AA57" i="4" s="1"/>
  <c r="AF62" i="4"/>
  <c r="AD68" i="4"/>
  <c r="AA68" i="4" s="1"/>
  <c r="AK53" i="4"/>
  <c r="AJ53" i="4" s="1"/>
  <c r="AJ65" i="4"/>
  <c r="AI45" i="4"/>
  <c r="AL69" i="4"/>
  <c r="AS61" i="4"/>
  <c r="AN57" i="4"/>
  <c r="AL53" i="4"/>
  <c r="AS45" i="4"/>
  <c r="AZ57" i="4"/>
  <c r="AZ69" i="4"/>
  <c r="BB57" i="4"/>
  <c r="AM53" i="4"/>
  <c r="AJ49" i="4"/>
  <c r="AK69" i="4"/>
  <c r="AJ69" i="4" s="1"/>
  <c r="AM65" i="4"/>
  <c r="AM49" i="4"/>
  <c r="AI53" i="4"/>
  <c r="AS69" i="4"/>
  <c r="AN65" i="4"/>
  <c r="AL61" i="4"/>
  <c r="AS53" i="4"/>
  <c r="AN49" i="4"/>
  <c r="AL45" i="4"/>
  <c r="AZ49" i="4"/>
  <c r="AG49" i="4"/>
  <c r="AG65" i="4"/>
  <c r="AF64" i="4"/>
  <c r="BB63" i="4"/>
  <c r="AF69" i="4"/>
  <c r="AD45" i="4"/>
  <c r="AA45" i="4" s="1"/>
  <c r="AI51" i="4"/>
  <c r="BB55" i="4"/>
  <c r="BB67" i="4"/>
  <c r="BB112" i="4"/>
  <c r="BB51" i="4"/>
  <c r="N194" i="4"/>
  <c r="N196" i="4" s="1"/>
  <c r="N221" i="4" s="1"/>
  <c r="AJ41" i="4"/>
  <c r="AS41" i="4"/>
  <c r="AS34" i="4"/>
  <c r="AZ41" i="4"/>
  <c r="AK38" i="4"/>
  <c r="AJ38" i="4" s="1"/>
  <c r="AS35" i="4"/>
  <c r="AZ42" i="4"/>
  <c r="F194" i="4"/>
  <c r="F196" i="4" s="1"/>
  <c r="F221" i="4" s="1"/>
  <c r="AM63" i="4"/>
  <c r="AK55" i="4"/>
  <c r="AI59" i="4"/>
  <c r="AF48" i="4"/>
  <c r="AD61" i="4"/>
  <c r="AA61" i="4" s="1"/>
  <c r="AJ59" i="4"/>
  <c r="AI67" i="4"/>
  <c r="AL67" i="4"/>
  <c r="AS63" i="4"/>
  <c r="AL59" i="4"/>
  <c r="AS55" i="4"/>
  <c r="AL51" i="4"/>
  <c r="AS47" i="4"/>
  <c r="AZ63" i="4"/>
  <c r="AF56" i="4"/>
  <c r="AD69" i="4"/>
  <c r="AA69" i="4" s="1"/>
  <c r="AF50" i="4"/>
  <c r="AF58" i="4"/>
  <c r="AF66" i="4"/>
  <c r="AF70" i="4"/>
  <c r="AD49" i="4"/>
  <c r="AA49" i="4" s="1"/>
  <c r="AD65" i="4"/>
  <c r="AA65" i="4" s="1"/>
  <c r="AD70" i="4"/>
  <c r="AA70" i="4" s="1"/>
  <c r="AM55" i="4"/>
  <c r="AN112" i="4"/>
  <c r="AK67" i="4"/>
  <c r="AN63" i="4"/>
  <c r="AN55" i="4"/>
  <c r="AN47" i="4"/>
  <c r="AZ112" i="4"/>
  <c r="AM47" i="4"/>
  <c r="AK63" i="4"/>
  <c r="AK47" i="4"/>
  <c r="AI63" i="4"/>
  <c r="AI55" i="4"/>
  <c r="AI47" i="4"/>
  <c r="AK112" i="4"/>
  <c r="AJ112" i="4" s="1"/>
  <c r="AS67" i="4"/>
  <c r="AL63" i="4"/>
  <c r="AS59" i="4"/>
  <c r="AL55" i="4"/>
  <c r="AS51" i="4"/>
  <c r="AL47" i="4"/>
  <c r="BB59" i="4"/>
  <c r="AF44" i="4"/>
  <c r="AF52" i="4"/>
  <c r="AF60" i="4"/>
  <c r="AF67" i="4"/>
  <c r="AF112" i="4"/>
  <c r="AH47" i="4"/>
  <c r="AH51" i="4"/>
  <c r="AH55" i="4"/>
  <c r="AH59" i="4"/>
  <c r="AH63" i="4"/>
  <c r="AH67" i="4"/>
  <c r="AH112" i="4"/>
  <c r="AG47" i="4"/>
  <c r="AG51" i="4"/>
  <c r="AG55" i="4"/>
  <c r="AG59" i="4"/>
  <c r="AG63" i="4"/>
  <c r="AG67" i="4"/>
  <c r="AG112" i="4"/>
  <c r="AD53" i="4"/>
  <c r="AA53" i="4" s="1"/>
  <c r="AD67" i="4"/>
  <c r="AA67" i="4" s="1"/>
  <c r="AD112" i="4"/>
  <c r="AA112" i="4" s="1"/>
  <c r="AJ51" i="4"/>
  <c r="AK51" i="4"/>
  <c r="AI112" i="4"/>
  <c r="AZ67" i="4"/>
  <c r="AJ67" i="4"/>
  <c r="AK59" i="4"/>
  <c r="AM112" i="4"/>
  <c r="AN59" i="4"/>
  <c r="AN51" i="4"/>
  <c r="AZ47" i="4"/>
  <c r="AZ51" i="4"/>
  <c r="AZ55" i="4"/>
  <c r="AZ59" i="4"/>
  <c r="BB47" i="4"/>
  <c r="AF68" i="4"/>
  <c r="B21" i="4"/>
  <c r="T19" i="4"/>
  <c r="AD48" i="4"/>
  <c r="AA48" i="4" s="1"/>
  <c r="AD52" i="4"/>
  <c r="AA52" i="4" s="1"/>
  <c r="AD56" i="4"/>
  <c r="AA56" i="4" s="1"/>
  <c r="AD60" i="4"/>
  <c r="AA60" i="4" s="1"/>
  <c r="AD64" i="4"/>
  <c r="AA64" i="4" s="1"/>
  <c r="B19" i="4"/>
  <c r="AF45" i="4"/>
  <c r="AF49" i="4"/>
  <c r="AF53" i="4"/>
  <c r="AF57" i="4"/>
  <c r="AF61" i="4"/>
  <c r="AF65" i="4"/>
  <c r="AD46" i="4"/>
  <c r="AA46" i="4" s="1"/>
  <c r="AD50" i="4"/>
  <c r="AA50" i="4" s="1"/>
  <c r="AD54" i="4"/>
  <c r="AA54" i="4" s="1"/>
  <c r="AD58" i="4"/>
  <c r="AA58" i="4" s="1"/>
  <c r="AD62" i="4"/>
  <c r="AA62" i="4" s="1"/>
  <c r="AD66" i="4"/>
  <c r="AA66" i="4" s="1"/>
  <c r="AD43" i="4"/>
  <c r="AN43" i="4" s="1"/>
  <c r="AD47" i="4"/>
  <c r="AA47" i="4" s="1"/>
  <c r="AD51" i="4"/>
  <c r="AA51" i="4" s="1"/>
  <c r="AD55" i="4"/>
  <c r="AA55" i="4" s="1"/>
  <c r="AD59" i="4"/>
  <c r="AA59" i="4" s="1"/>
  <c r="AD63" i="4"/>
  <c r="AA63" i="4" s="1"/>
  <c r="AF47" i="4"/>
  <c r="AF51" i="4"/>
  <c r="AF55" i="4"/>
  <c r="AF59" i="4"/>
  <c r="AF63" i="4"/>
  <c r="AD44" i="4"/>
  <c r="AA44" i="4" s="1"/>
  <c r="L186" i="4"/>
  <c r="L187" i="4" s="1"/>
  <c r="AJ34" i="4"/>
  <c r="AZ34" i="4"/>
  <c r="AK40" i="4"/>
  <c r="AJ40" i="4" s="1"/>
  <c r="J152" i="4"/>
  <c r="P19" i="4"/>
  <c r="J147" i="4"/>
  <c r="J145" i="4"/>
  <c r="A19" i="4"/>
  <c r="D15" i="5"/>
  <c r="D18" i="5" s="1"/>
  <c r="D19" i="5" s="1"/>
  <c r="M229" i="4"/>
  <c r="L229" i="4"/>
  <c r="K229" i="4"/>
  <c r="I229" i="4"/>
  <c r="G229" i="4"/>
  <c r="F229" i="4"/>
  <c r="O188" i="4"/>
  <c r="I179" i="4"/>
  <c r="I180" i="4" s="1"/>
  <c r="L179" i="4"/>
  <c r="L180" i="4" s="1"/>
  <c r="AD38" i="4"/>
  <c r="AA38" i="4" s="1"/>
  <c r="L200" i="4"/>
  <c r="H200" i="4"/>
  <c r="AZ37" i="4"/>
  <c r="AK37" i="4"/>
  <c r="AJ37" i="4" s="1"/>
  <c r="F186" i="4"/>
  <c r="F187" i="4" s="1"/>
  <c r="O238" i="4"/>
  <c r="Q238" i="4" s="1"/>
  <c r="O185" i="4"/>
  <c r="AH41" i="4" s="1"/>
  <c r="K186" i="4"/>
  <c r="K187" i="4" s="1"/>
  <c r="J186" i="4"/>
  <c r="J187" i="4" s="1"/>
  <c r="G186" i="4"/>
  <c r="G187" i="4" s="1"/>
  <c r="I186" i="4"/>
  <c r="I187" i="4" s="1"/>
  <c r="M186" i="4"/>
  <c r="M187" i="4" s="1"/>
  <c r="AK33" i="4"/>
  <c r="AJ33" i="4" s="1"/>
  <c r="AS33" i="4"/>
  <c r="L194" i="4"/>
  <c r="L196" i="4" s="1"/>
  <c r="L221" i="4" s="1"/>
  <c r="N179" i="4"/>
  <c r="N180" i="4" s="1"/>
  <c r="H179" i="4"/>
  <c r="H180" i="4" s="1"/>
  <c r="K179" i="4"/>
  <c r="K180" i="4" s="1"/>
  <c r="J179" i="4"/>
  <c r="J180" i="4" s="1"/>
  <c r="M179" i="4"/>
  <c r="M180" i="4" s="1"/>
  <c r="O178" i="4"/>
  <c r="G179" i="4"/>
  <c r="G180" i="4" s="1"/>
  <c r="AZ43" i="4"/>
  <c r="AF43" i="4"/>
  <c r="AD37" i="4"/>
  <c r="AA37" i="4" s="1"/>
  <c r="AS43" i="4"/>
  <c r="AD36" i="4"/>
  <c r="AA36" i="4" s="1"/>
  <c r="AD40" i="4"/>
  <c r="AA40" i="4" s="1"/>
  <c r="AD39" i="4"/>
  <c r="AN39" i="4" s="1"/>
  <c r="AD41" i="4"/>
  <c r="AA41" i="4" s="1"/>
  <c r="AD42" i="4"/>
  <c r="AF42" i="4" s="1"/>
  <c r="AS36" i="4"/>
  <c r="AD35" i="4"/>
  <c r="AF35" i="4" s="1"/>
  <c r="AJ36" i="4"/>
  <c r="AZ36" i="4"/>
  <c r="AD33" i="4"/>
  <c r="AA33" i="4" s="1"/>
  <c r="AS39" i="4"/>
  <c r="AH39" i="4"/>
  <c r="AK39" i="4"/>
  <c r="AJ39" i="4" s="1"/>
  <c r="AD34" i="4"/>
  <c r="AN34" i="4" s="1"/>
  <c r="AC31" i="4"/>
  <c r="AE31" i="4"/>
  <c r="H195" i="4"/>
  <c r="AD106" i="4"/>
  <c r="AD94" i="4"/>
  <c r="AD76" i="4"/>
  <c r="AD110" i="4"/>
  <c r="AD101" i="4"/>
  <c r="AD87" i="4"/>
  <c r="AD99" i="4"/>
  <c r="AD83" i="4"/>
  <c r="AD108" i="4"/>
  <c r="AD72" i="4"/>
  <c r="AF106" i="4"/>
  <c r="AF94" i="4"/>
  <c r="AF72" i="4"/>
  <c r="AD100" i="4"/>
  <c r="AD78" i="4"/>
  <c r="AF78" i="4" s="1"/>
  <c r="AD107" i="4"/>
  <c r="AD95" i="4"/>
  <c r="AD89" i="4"/>
  <c r="AD73" i="4"/>
  <c r="AD71" i="4"/>
  <c r="AF71" i="4" s="1"/>
  <c r="AF110" i="4"/>
  <c r="AD104" i="4"/>
  <c r="AD92" i="4"/>
  <c r="AD80" i="4"/>
  <c r="AF101" i="4"/>
  <c r="AF89" i="4"/>
  <c r="AF73" i="4"/>
  <c r="AF100" i="4"/>
  <c r="AF80" i="4"/>
  <c r="AF83" i="4"/>
  <c r="AD88" i="4"/>
  <c r="AF88" i="4" s="1"/>
  <c r="AD84" i="4"/>
  <c r="AF84" i="4" s="1"/>
  <c r="AD82" i="4"/>
  <c r="AD111" i="4"/>
  <c r="AD103" i="4"/>
  <c r="AD97" i="4"/>
  <c r="AD91" i="4"/>
  <c r="AD81" i="4"/>
  <c r="AD79" i="4"/>
  <c r="AF79" i="4" s="1"/>
  <c r="AD77" i="4"/>
  <c r="AF77" i="4" s="1"/>
  <c r="AD75" i="4"/>
  <c r="AD109" i="4"/>
  <c r="AD102" i="4"/>
  <c r="AF102" i="4" s="1"/>
  <c r="AD96" i="4"/>
  <c r="AF96" i="4" s="1"/>
  <c r="AD86" i="4"/>
  <c r="AF108" i="4"/>
  <c r="AF92" i="4"/>
  <c r="AF76" i="4"/>
  <c r="AD74" i="4"/>
  <c r="AD85" i="4"/>
  <c r="AD105" i="4"/>
  <c r="AF105" i="4" s="1"/>
  <c r="AD93" i="4"/>
  <c r="AF93" i="4" s="1"/>
  <c r="AD98" i="4"/>
  <c r="AD90" i="4"/>
  <c r="AF107" i="4"/>
  <c r="AF103" i="4"/>
  <c r="AF99" i="4"/>
  <c r="AF95" i="4"/>
  <c r="AF91" i="4"/>
  <c r="AF87" i="4"/>
  <c r="AF75" i="4"/>
  <c r="AS112" i="4"/>
  <c r="AO60" i="4"/>
  <c r="AT60" i="4" s="1"/>
  <c r="AO44" i="4"/>
  <c r="AU44" i="4" s="1"/>
  <c r="AO70" i="4"/>
  <c r="AT70" i="4" s="1"/>
  <c r="AO52" i="4"/>
  <c r="AU52" i="4" s="1"/>
  <c r="AO69" i="4"/>
  <c r="AU69" i="4" s="1"/>
  <c r="AO51" i="4"/>
  <c r="AU51" i="4" s="1"/>
  <c r="AO54" i="4"/>
  <c r="AT54" i="4" s="1"/>
  <c r="AO50" i="4"/>
  <c r="AT50" i="4" s="1"/>
  <c r="AO46" i="4"/>
  <c r="AT46" i="4" s="1"/>
  <c r="AO53" i="4"/>
  <c r="AT53" i="4" s="1"/>
  <c r="AO65" i="4"/>
  <c r="AU65" i="4" s="1"/>
  <c r="AO49" i="4"/>
  <c r="AT49" i="4" s="1"/>
  <c r="AO61" i="4"/>
  <c r="AO66" i="4"/>
  <c r="AT66" i="4" s="1"/>
  <c r="AO62" i="4"/>
  <c r="AT62" i="4" s="1"/>
  <c r="AO58" i="4"/>
  <c r="AT58" i="4" s="1"/>
  <c r="AI60" i="4"/>
  <c r="AN58" i="4"/>
  <c r="AO64" i="4"/>
  <c r="AU64" i="4" s="1"/>
  <c r="AI48" i="4"/>
  <c r="AI64" i="4"/>
  <c r="AN66" i="4"/>
  <c r="AO68" i="4"/>
  <c r="AU68" i="4" s="1"/>
  <c r="AI52" i="4"/>
  <c r="AO48" i="4"/>
  <c r="AU48" i="4" s="1"/>
  <c r="AO112" i="4"/>
  <c r="AU112" i="4" s="1"/>
  <c r="AI56" i="4"/>
  <c r="AN50" i="4"/>
  <c r="AO56" i="4"/>
  <c r="AU56" i="4" s="1"/>
  <c r="AJ55" i="4"/>
  <c r="H229" i="4"/>
  <c r="AI69" i="4"/>
  <c r="AK45" i="4"/>
  <c r="AJ47" i="4"/>
  <c r="AM59" i="4"/>
  <c r="AK57" i="4"/>
  <c r="AJ57" i="4" s="1"/>
  <c r="AN70" i="4"/>
  <c r="AJ63" i="4"/>
  <c r="AM67" i="4"/>
  <c r="J229" i="4"/>
  <c r="O228" i="4"/>
  <c r="AY26" i="4" s="1"/>
  <c r="J149" i="4"/>
  <c r="J21" i="1"/>
  <c r="J22" i="1"/>
  <c r="F22" i="1"/>
  <c r="D22" i="1"/>
  <c r="E21" i="1"/>
  <c r="F21" i="1"/>
  <c r="H21" i="1"/>
  <c r="BE20" i="4" s="1"/>
  <c r="K208" i="4" s="1"/>
  <c r="H22" i="1"/>
  <c r="BE23" i="4" s="1"/>
  <c r="K21" i="1"/>
  <c r="I21" i="1"/>
  <c r="G22" i="1"/>
  <c r="E22" i="1"/>
  <c r="D21" i="1"/>
  <c r="I22" i="1"/>
  <c r="O222" i="4"/>
  <c r="O181" i="4"/>
  <c r="AI43" i="4" l="1"/>
  <c r="F195" i="4"/>
  <c r="O221" i="4"/>
  <c r="AY25" i="4" s="1"/>
  <c r="O25" i="4" s="1"/>
  <c r="N195" i="4"/>
  <c r="D22" i="5"/>
  <c r="D23" i="5" s="1"/>
  <c r="AF38" i="4"/>
  <c r="AA43" i="4"/>
  <c r="BB43" i="4"/>
  <c r="BB41" i="4"/>
  <c r="O26" i="4"/>
  <c r="AF39" i="4"/>
  <c r="BB38" i="4"/>
  <c r="AI38" i="4"/>
  <c r="AN38" i="4"/>
  <c r="AH40" i="4"/>
  <c r="AH37" i="4"/>
  <c r="AH38" i="4"/>
  <c r="O189" i="4"/>
  <c r="AM38" i="4"/>
  <c r="AM33" i="4"/>
  <c r="AM39" i="4"/>
  <c r="AM36" i="4"/>
  <c r="AM42" i="4"/>
  <c r="AH43" i="4"/>
  <c r="AH33" i="4"/>
  <c r="AH35" i="4"/>
  <c r="AM35" i="4"/>
  <c r="G160" i="4"/>
  <c r="AM41" i="4"/>
  <c r="AA39" i="4"/>
  <c r="AM37" i="4"/>
  <c r="AM40" i="4"/>
  <c r="AH42" i="4"/>
  <c r="AH36" i="4"/>
  <c r="AM43" i="4"/>
  <c r="AM34" i="4"/>
  <c r="G158" i="4"/>
  <c r="AH34" i="4"/>
  <c r="AG33" i="4"/>
  <c r="AG34" i="4"/>
  <c r="AI40" i="4"/>
  <c r="AG43" i="4"/>
  <c r="AG39" i="4"/>
  <c r="O229" i="4"/>
  <c r="O237" i="4" s="1"/>
  <c r="Q237" i="4" s="1"/>
  <c r="AS31" i="4"/>
  <c r="BB37" i="4"/>
  <c r="AF36" i="4"/>
  <c r="AN37" i="4"/>
  <c r="AI37" i="4"/>
  <c r="AL34" i="4"/>
  <c r="AL33" i="4"/>
  <c r="F160" i="4"/>
  <c r="AF37" i="4"/>
  <c r="BB36" i="4"/>
  <c r="L195" i="4"/>
  <c r="AN36" i="4"/>
  <c r="AI36" i="4"/>
  <c r="AF41" i="4"/>
  <c r="F158" i="4"/>
  <c r="AG42" i="4"/>
  <c r="AG41" i="4"/>
  <c r="AG40" i="4"/>
  <c r="AG38" i="4"/>
  <c r="AG37" i="4"/>
  <c r="AL35" i="4"/>
  <c r="AL42" i="4"/>
  <c r="AL36" i="4"/>
  <c r="AL41" i="4"/>
  <c r="AL37" i="4"/>
  <c r="AL39" i="4"/>
  <c r="AG35" i="4"/>
  <c r="AL40" i="4"/>
  <c r="AL38" i="4"/>
  <c r="AG36" i="4"/>
  <c r="AL43" i="4"/>
  <c r="AO43" i="4" s="1"/>
  <c r="AU43" i="4" s="1"/>
  <c r="AF40" i="4"/>
  <c r="AN40" i="4"/>
  <c r="F208" i="4"/>
  <c r="M208" i="4"/>
  <c r="BB40" i="4"/>
  <c r="AN41" i="4"/>
  <c r="AI39" i="4"/>
  <c r="AI41" i="4"/>
  <c r="BB39" i="4"/>
  <c r="AA42" i="4"/>
  <c r="BB42" i="4"/>
  <c r="AN42" i="4"/>
  <c r="AI42" i="4"/>
  <c r="AN35" i="4"/>
  <c r="AA35" i="4"/>
  <c r="AI35" i="4"/>
  <c r="BB35" i="4"/>
  <c r="AI33" i="4"/>
  <c r="AF33" i="4"/>
  <c r="AF34" i="4"/>
  <c r="AN33" i="4"/>
  <c r="AA34" i="4"/>
  <c r="AI34" i="4"/>
  <c r="BB33" i="4"/>
  <c r="BB34" i="4"/>
  <c r="BC28" i="4"/>
  <c r="AD31" i="4"/>
  <c r="J162" i="4" s="1"/>
  <c r="Y31" i="4" a="1"/>
  <c r="Y31" i="4" s="1"/>
  <c r="Z39" i="4" s="1"/>
  <c r="B39" i="4" s="1"/>
  <c r="AA90" i="4"/>
  <c r="AN90" i="4"/>
  <c r="AO90" i="4"/>
  <c r="AT90" i="4" s="1"/>
  <c r="BB90" i="4"/>
  <c r="AI90" i="4"/>
  <c r="AA85" i="4"/>
  <c r="AO85" i="4"/>
  <c r="AT85" i="4" s="1"/>
  <c r="AI85" i="4"/>
  <c r="AN85" i="4"/>
  <c r="BB85" i="4"/>
  <c r="AU85" i="4"/>
  <c r="AA109" i="4"/>
  <c r="BB109" i="4"/>
  <c r="AO109" i="4"/>
  <c r="AT109" i="4" s="1"/>
  <c r="AI109" i="4"/>
  <c r="AN109" i="4"/>
  <c r="AA81" i="4"/>
  <c r="AI81" i="4"/>
  <c r="AN81" i="4"/>
  <c r="BB81" i="4"/>
  <c r="AO81" i="4"/>
  <c r="AU81" i="4" s="1"/>
  <c r="AA111" i="4"/>
  <c r="AI111" i="4"/>
  <c r="AO111" i="4"/>
  <c r="AT111" i="4" s="1"/>
  <c r="BB111" i="4"/>
  <c r="AN111" i="4"/>
  <c r="AA104" i="4"/>
  <c r="AI104" i="4"/>
  <c r="BB104" i="4"/>
  <c r="AO104" i="4"/>
  <c r="AT104" i="4" s="1"/>
  <c r="AN104" i="4"/>
  <c r="AA89" i="4"/>
  <c r="AI89" i="4"/>
  <c r="AO89" i="4"/>
  <c r="AT89" i="4" s="1"/>
  <c r="AN89" i="4"/>
  <c r="BB89" i="4"/>
  <c r="AA100" i="4"/>
  <c r="AI100" i="4"/>
  <c r="AO100" i="4"/>
  <c r="AT100" i="4" s="1"/>
  <c r="AN100" i="4"/>
  <c r="BB100" i="4"/>
  <c r="AF111" i="4"/>
  <c r="AA99" i="4"/>
  <c r="AN99" i="4"/>
  <c r="AO99" i="4"/>
  <c r="AT99" i="4" s="1"/>
  <c r="AI99" i="4"/>
  <c r="BB99" i="4"/>
  <c r="AA76" i="4"/>
  <c r="AI76" i="4"/>
  <c r="AO76" i="4"/>
  <c r="AT76" i="4" s="1"/>
  <c r="AN76" i="4"/>
  <c r="BB76" i="4"/>
  <c r="AA98" i="4"/>
  <c r="AN98" i="4"/>
  <c r="AI98" i="4"/>
  <c r="AO98" i="4"/>
  <c r="AU98" i="4" s="1"/>
  <c r="BB98" i="4"/>
  <c r="AA74" i="4"/>
  <c r="AN74" i="4"/>
  <c r="AO74" i="4"/>
  <c r="AT74" i="4" s="1"/>
  <c r="BB74" i="4"/>
  <c r="AI74" i="4"/>
  <c r="AA86" i="4"/>
  <c r="AI86" i="4"/>
  <c r="AN86" i="4"/>
  <c r="AO86" i="4"/>
  <c r="AU86" i="4" s="1"/>
  <c r="BB86" i="4"/>
  <c r="AA75" i="4"/>
  <c r="AN75" i="4"/>
  <c r="BB75" i="4"/>
  <c r="AO75" i="4"/>
  <c r="AU75" i="4" s="1"/>
  <c r="AI75" i="4"/>
  <c r="AA91" i="4"/>
  <c r="AO91" i="4"/>
  <c r="AT91" i="4" s="1"/>
  <c r="BB91" i="4"/>
  <c r="AN91" i="4"/>
  <c r="AI91" i="4"/>
  <c r="AU91" i="4"/>
  <c r="AA82" i="4"/>
  <c r="AI82" i="4"/>
  <c r="AO82" i="4"/>
  <c r="AT82" i="4" s="1"/>
  <c r="AN82" i="4"/>
  <c r="BB82" i="4"/>
  <c r="AF109" i="4"/>
  <c r="AA95" i="4"/>
  <c r="AN95" i="4"/>
  <c r="BB95" i="4"/>
  <c r="AO95" i="4"/>
  <c r="AU95" i="4" s="1"/>
  <c r="AI95" i="4"/>
  <c r="AF82" i="4"/>
  <c r="AF98" i="4"/>
  <c r="AA72" i="4"/>
  <c r="BB72" i="4"/>
  <c r="AO72" i="4"/>
  <c r="AT72" i="4" s="1"/>
  <c r="AI72" i="4"/>
  <c r="AN72" i="4"/>
  <c r="AA87" i="4"/>
  <c r="AN87" i="4"/>
  <c r="BB87" i="4"/>
  <c r="AO87" i="4"/>
  <c r="AU87" i="4" s="1"/>
  <c r="AI87" i="4"/>
  <c r="AA94" i="4"/>
  <c r="AN94" i="4"/>
  <c r="AO94" i="4"/>
  <c r="AT94" i="4" s="1"/>
  <c r="BB94" i="4"/>
  <c r="AI94" i="4"/>
  <c r="AK31" i="4"/>
  <c r="AA93" i="4"/>
  <c r="AO93" i="4"/>
  <c r="AU93" i="4" s="1"/>
  <c r="AI93" i="4"/>
  <c r="AN93" i="4"/>
  <c r="BB93" i="4"/>
  <c r="AT93" i="4"/>
  <c r="AA96" i="4"/>
  <c r="BB96" i="4"/>
  <c r="AO96" i="4"/>
  <c r="AT96" i="4" s="1"/>
  <c r="AI96" i="4"/>
  <c r="AN96" i="4"/>
  <c r="AA77" i="4"/>
  <c r="AI77" i="4"/>
  <c r="AO77" i="4"/>
  <c r="AT77" i="4" s="1"/>
  <c r="AN77" i="4"/>
  <c r="BB77" i="4"/>
  <c r="AA97" i="4"/>
  <c r="AI97" i="4"/>
  <c r="AN97" i="4"/>
  <c r="BB97" i="4"/>
  <c r="AO97" i="4"/>
  <c r="AT97" i="4" s="1"/>
  <c r="AA84" i="4"/>
  <c r="AN84" i="4"/>
  <c r="AO84" i="4"/>
  <c r="AT84" i="4" s="1"/>
  <c r="BB84" i="4"/>
  <c r="AI84" i="4"/>
  <c r="AF81" i="4"/>
  <c r="AF97" i="4"/>
  <c r="AA80" i="4"/>
  <c r="AI80" i="4"/>
  <c r="AO80" i="4"/>
  <c r="AT80" i="4" s="1"/>
  <c r="AN80" i="4"/>
  <c r="BB80" i="4"/>
  <c r="AA71" i="4"/>
  <c r="AN71" i="4"/>
  <c r="BB71" i="4"/>
  <c r="AO71" i="4"/>
  <c r="AU71" i="4" s="1"/>
  <c r="AI71" i="4"/>
  <c r="AA107" i="4"/>
  <c r="BB107" i="4"/>
  <c r="AO107" i="4"/>
  <c r="AT107" i="4" s="1"/>
  <c r="AN107" i="4"/>
  <c r="AI107" i="4"/>
  <c r="AF104" i="4"/>
  <c r="AF86" i="4"/>
  <c r="AA108" i="4"/>
  <c r="AI108" i="4"/>
  <c r="AO108" i="4"/>
  <c r="AU108" i="4" s="1"/>
  <c r="BB108" i="4"/>
  <c r="AN108" i="4"/>
  <c r="AA101" i="4"/>
  <c r="AN101" i="4"/>
  <c r="AO101" i="4"/>
  <c r="AU101" i="4" s="1"/>
  <c r="BB101" i="4"/>
  <c r="AI101" i="4"/>
  <c r="AA106" i="4"/>
  <c r="BB106" i="4"/>
  <c r="AO106" i="4"/>
  <c r="AT106" i="4" s="1"/>
  <c r="AN106" i="4"/>
  <c r="AI106" i="4"/>
  <c r="AA105" i="4"/>
  <c r="AN105" i="4"/>
  <c r="AO105" i="4"/>
  <c r="AU105" i="4" s="1"/>
  <c r="BB105" i="4"/>
  <c r="AI105" i="4"/>
  <c r="AA102" i="4"/>
  <c r="BB102" i="4"/>
  <c r="AI102" i="4"/>
  <c r="AO102" i="4"/>
  <c r="AU102" i="4" s="1"/>
  <c r="AN102" i="4"/>
  <c r="AA79" i="4"/>
  <c r="AO79" i="4"/>
  <c r="AT79" i="4" s="1"/>
  <c r="AI79" i="4"/>
  <c r="AN79" i="4"/>
  <c r="BB79" i="4"/>
  <c r="AA103" i="4"/>
  <c r="AN103" i="4"/>
  <c r="AI103" i="4"/>
  <c r="AO103" i="4"/>
  <c r="AU103" i="4" s="1"/>
  <c r="BB103" i="4"/>
  <c r="AA88" i="4"/>
  <c r="AI88" i="4"/>
  <c r="AN88" i="4"/>
  <c r="BB88" i="4"/>
  <c r="AO88" i="4"/>
  <c r="AT88" i="4" s="1"/>
  <c r="AF85" i="4"/>
  <c r="AA92" i="4"/>
  <c r="AI92" i="4"/>
  <c r="AN92" i="4"/>
  <c r="BB92" i="4"/>
  <c r="AO92" i="4"/>
  <c r="AU92" i="4" s="1"/>
  <c r="AA73" i="4"/>
  <c r="BB73" i="4"/>
  <c r="AO73" i="4"/>
  <c r="AT73" i="4" s="1"/>
  <c r="AI73" i="4"/>
  <c r="AN73" i="4"/>
  <c r="AA78" i="4"/>
  <c r="AI78" i="4"/>
  <c r="AN78" i="4"/>
  <c r="AO78" i="4"/>
  <c r="AU78" i="4" s="1"/>
  <c r="BB78" i="4"/>
  <c r="AF74" i="4"/>
  <c r="AF90" i="4"/>
  <c r="AA83" i="4"/>
  <c r="BB83" i="4"/>
  <c r="AO83" i="4"/>
  <c r="AU83" i="4" s="1"/>
  <c r="AI83" i="4"/>
  <c r="AN83" i="4"/>
  <c r="AA110" i="4"/>
  <c r="BB110" i="4"/>
  <c r="AO110" i="4"/>
  <c r="AT110" i="4" s="1"/>
  <c r="AN110" i="4"/>
  <c r="AI110" i="4"/>
  <c r="AU60" i="4"/>
  <c r="AQ60" i="4" s="1"/>
  <c r="AT52" i="4"/>
  <c r="AR52" i="4" s="1"/>
  <c r="AT69" i="4"/>
  <c r="AQ69" i="4" s="1"/>
  <c r="AU54" i="4"/>
  <c r="AQ54" i="4" s="1"/>
  <c r="AU58" i="4"/>
  <c r="AR58" i="4" s="1"/>
  <c r="AT44" i="4"/>
  <c r="AQ44" i="4" s="1"/>
  <c r="AU50" i="4"/>
  <c r="AQ50" i="4" s="1"/>
  <c r="AU53" i="4"/>
  <c r="AQ53" i="4" s="1"/>
  <c r="AU70" i="4"/>
  <c r="AQ70" i="4" s="1"/>
  <c r="AT51" i="4"/>
  <c r="AQ51" i="4" s="1"/>
  <c r="AU66" i="4"/>
  <c r="AR66" i="4" s="1"/>
  <c r="AU46" i="4"/>
  <c r="AR46" i="4" s="1"/>
  <c r="AT65" i="4"/>
  <c r="AQ65" i="4" s="1"/>
  <c r="AU62" i="4"/>
  <c r="AQ62" i="4" s="1"/>
  <c r="AU49" i="4"/>
  <c r="AQ49" i="4" s="1"/>
  <c r="AT56" i="4"/>
  <c r="AR56" i="4" s="1"/>
  <c r="AO59" i="4"/>
  <c r="AT64" i="4"/>
  <c r="AQ64" i="4" s="1"/>
  <c r="AT61" i="4"/>
  <c r="AU61" i="4"/>
  <c r="AO57" i="4"/>
  <c r="AO47" i="4"/>
  <c r="AT112" i="4"/>
  <c r="AQ112" i="4" s="1"/>
  <c r="AT48" i="4"/>
  <c r="AQ48" i="4" s="1"/>
  <c r="AO67" i="4"/>
  <c r="AO63" i="4"/>
  <c r="AJ45" i="4"/>
  <c r="AJ31" i="4" s="1"/>
  <c r="AO55" i="4"/>
  <c r="AT68" i="4"/>
  <c r="AR68" i="4" s="1"/>
  <c r="N208" i="4"/>
  <c r="G208" i="4"/>
  <c r="J208" i="4"/>
  <c r="L208" i="4"/>
  <c r="F213" i="4"/>
  <c r="K213" i="4"/>
  <c r="K214" i="4" s="1"/>
  <c r="K250" i="4" s="1"/>
  <c r="K251" i="4" s="1"/>
  <c r="H213" i="4"/>
  <c r="I213" i="4"/>
  <c r="I214" i="4" s="1"/>
  <c r="I250" i="4" s="1"/>
  <c r="I251" i="4" s="1"/>
  <c r="J213" i="4"/>
  <c r="J214" i="4" s="1"/>
  <c r="J250" i="4" s="1"/>
  <c r="J251" i="4" s="1"/>
  <c r="M213" i="4"/>
  <c r="M214" i="4" s="1"/>
  <c r="M250" i="4" s="1"/>
  <c r="M251" i="4" s="1"/>
  <c r="G213" i="4"/>
  <c r="G214" i="4" s="1"/>
  <c r="G250" i="4" s="1"/>
  <c r="G251" i="4" s="1"/>
  <c r="L213" i="4"/>
  <c r="I208" i="4"/>
  <c r="H208" i="4"/>
  <c r="D24" i="5"/>
  <c r="O236" i="4" l="1"/>
  <c r="Q236" i="4" s="1"/>
  <c r="AY23" i="4"/>
  <c r="O23" i="4" s="1"/>
  <c r="B30" i="4"/>
  <c r="AY24" i="4"/>
  <c r="O24" i="4" s="1"/>
  <c r="AO36" i="4"/>
  <c r="AT36" i="4" s="1"/>
  <c r="AO39" i="4"/>
  <c r="AU39" i="4" s="1"/>
  <c r="F154" i="4"/>
  <c r="J154" i="4" s="1"/>
  <c r="F21" i="4" s="1"/>
  <c r="AO42" i="4"/>
  <c r="AT42" i="4" s="1"/>
  <c r="AO41" i="4"/>
  <c r="AT41" i="4" s="1"/>
  <c r="AO33" i="4"/>
  <c r="AU33" i="4" s="1"/>
  <c r="AO38" i="4"/>
  <c r="AT38" i="4" s="1"/>
  <c r="AO37" i="4"/>
  <c r="AT37" i="4" s="1"/>
  <c r="AO35" i="4"/>
  <c r="AU35" i="4" s="1"/>
  <c r="AM31" i="4"/>
  <c r="AO34" i="4"/>
  <c r="AU34" i="4" s="1"/>
  <c r="AO40" i="4"/>
  <c r="AU40" i="4" s="1"/>
  <c r="AT43" i="4"/>
  <c r="AR43" i="4" s="1"/>
  <c r="AL31" i="4"/>
  <c r="AN31" i="4"/>
  <c r="AF31" i="4"/>
  <c r="Z42" i="4"/>
  <c r="B42" i="4" s="1"/>
  <c r="Z36" i="4"/>
  <c r="B36" i="4" s="1"/>
  <c r="Z64" i="4"/>
  <c r="B64" i="4" s="1"/>
  <c r="H28" i="4"/>
  <c r="Z56" i="4"/>
  <c r="B56" i="4" s="1"/>
  <c r="Z49" i="4"/>
  <c r="B49" i="4" s="1"/>
  <c r="Z99" i="4"/>
  <c r="B99" i="4" s="1"/>
  <c r="Z58" i="4"/>
  <c r="B58" i="4" s="1"/>
  <c r="Z45" i="4"/>
  <c r="B45" i="4" s="1"/>
  <c r="Z53" i="4"/>
  <c r="B53" i="4" s="1"/>
  <c r="Z74" i="4"/>
  <c r="B74" i="4" s="1"/>
  <c r="Z46" i="4"/>
  <c r="B46" i="4" s="1"/>
  <c r="Z70" i="4"/>
  <c r="B70" i="4" s="1"/>
  <c r="Z38" i="4"/>
  <c r="B38" i="4" s="1"/>
  <c r="Z44" i="4"/>
  <c r="B44" i="4" s="1"/>
  <c r="Z102" i="4"/>
  <c r="B102" i="4" s="1"/>
  <c r="Z91" i="4"/>
  <c r="B91" i="4" s="1"/>
  <c r="Z34" i="4"/>
  <c r="B34" i="4" s="1"/>
  <c r="Z61" i="4"/>
  <c r="B61" i="4" s="1"/>
  <c r="Z47" i="4"/>
  <c r="B47" i="4" s="1"/>
  <c r="Z52" i="4"/>
  <c r="B52" i="4" s="1"/>
  <c r="Z68" i="4"/>
  <c r="B68" i="4" s="1"/>
  <c r="Z104" i="4"/>
  <c r="B104" i="4" s="1"/>
  <c r="Z84" i="4"/>
  <c r="B84" i="4" s="1"/>
  <c r="Z83" i="4"/>
  <c r="B83" i="4" s="1"/>
  <c r="Z86" i="4"/>
  <c r="B86" i="4" s="1"/>
  <c r="Z107" i="4"/>
  <c r="B107" i="4" s="1"/>
  <c r="Z75" i="4"/>
  <c r="B75" i="4" s="1"/>
  <c r="Z59" i="4"/>
  <c r="B59" i="4" s="1"/>
  <c r="Z51" i="4"/>
  <c r="B51" i="4" s="1"/>
  <c r="Z40" i="4"/>
  <c r="B40" i="4" s="1"/>
  <c r="Z54" i="4"/>
  <c r="B54" i="4" s="1"/>
  <c r="Z66" i="4"/>
  <c r="B66" i="4" s="1"/>
  <c r="Z37" i="4"/>
  <c r="B37" i="4" s="1"/>
  <c r="Z35" i="4"/>
  <c r="B35" i="4" s="1"/>
  <c r="Z48" i="4"/>
  <c r="B48" i="4" s="1"/>
  <c r="Z100" i="4"/>
  <c r="B100" i="4" s="1"/>
  <c r="Z82" i="4"/>
  <c r="B82" i="4" s="1"/>
  <c r="Z72" i="4"/>
  <c r="B72" i="4" s="1"/>
  <c r="Z98" i="4"/>
  <c r="B98" i="4" s="1"/>
  <c r="Z78" i="4"/>
  <c r="B78" i="4" s="1"/>
  <c r="Z105" i="4"/>
  <c r="B105" i="4" s="1"/>
  <c r="Z97" i="4"/>
  <c r="B97" i="4" s="1"/>
  <c r="Z89" i="4"/>
  <c r="B89" i="4" s="1"/>
  <c r="Z81" i="4"/>
  <c r="B81" i="4" s="1"/>
  <c r="Z73" i="4"/>
  <c r="B73" i="4" s="1"/>
  <c r="Z41" i="4"/>
  <c r="B41" i="4" s="1"/>
  <c r="Z62" i="4"/>
  <c r="B62" i="4" s="1"/>
  <c r="Z71" i="4"/>
  <c r="B71" i="4" s="1"/>
  <c r="Z112" i="4"/>
  <c r="B112" i="4" s="1"/>
  <c r="Z94" i="4"/>
  <c r="B94" i="4" s="1"/>
  <c r="Z80" i="4"/>
  <c r="B80" i="4" s="1"/>
  <c r="Z110" i="4"/>
  <c r="B110" i="4" s="1"/>
  <c r="Z92" i="4"/>
  <c r="B92" i="4" s="1"/>
  <c r="Z111" i="4"/>
  <c r="B111" i="4" s="1"/>
  <c r="Z103" i="4"/>
  <c r="B103" i="4" s="1"/>
  <c r="Z95" i="4"/>
  <c r="B95" i="4" s="1"/>
  <c r="Z87" i="4"/>
  <c r="B87" i="4" s="1"/>
  <c r="Z79" i="4"/>
  <c r="B79" i="4" s="1"/>
  <c r="Z96" i="4"/>
  <c r="B96" i="4" s="1"/>
  <c r="Z33" i="4"/>
  <c r="B33" i="4" s="1"/>
  <c r="Z57" i="4"/>
  <c r="B57" i="4" s="1"/>
  <c r="Z50" i="4"/>
  <c r="B50" i="4" s="1"/>
  <c r="Z65" i="4"/>
  <c r="B65" i="4" s="1"/>
  <c r="Z69" i="4"/>
  <c r="B69" i="4" s="1"/>
  <c r="Z60" i="4"/>
  <c r="B60" i="4" s="1"/>
  <c r="Z55" i="4"/>
  <c r="B55" i="4" s="1"/>
  <c r="Z43" i="4"/>
  <c r="B43" i="4" s="1"/>
  <c r="Z63" i="4"/>
  <c r="B63" i="4" s="1"/>
  <c r="Z67" i="4"/>
  <c r="B67" i="4" s="1"/>
  <c r="Z108" i="4"/>
  <c r="B108" i="4" s="1"/>
  <c r="Z90" i="4"/>
  <c r="B90" i="4" s="1"/>
  <c r="Z76" i="4"/>
  <c r="B76" i="4" s="1"/>
  <c r="Z106" i="4"/>
  <c r="B106" i="4" s="1"/>
  <c r="Z88" i="4"/>
  <c r="B88" i="4" s="1"/>
  <c r="Z109" i="4"/>
  <c r="B109" i="4" s="1"/>
  <c r="Z101" i="4"/>
  <c r="B101" i="4" s="1"/>
  <c r="Z93" i="4"/>
  <c r="B93" i="4" s="1"/>
  <c r="Z85" i="4"/>
  <c r="B85" i="4" s="1"/>
  <c r="Z77" i="4"/>
  <c r="B77" i="4" s="1"/>
  <c r="AI31" i="4"/>
  <c r="AI28" i="4" s="1"/>
  <c r="F168" i="4"/>
  <c r="F169" i="4" s="1"/>
  <c r="J169" i="4" s="1"/>
  <c r="AU106" i="4"/>
  <c r="AQ106" i="4" s="1"/>
  <c r="AU89" i="4"/>
  <c r="AT81" i="4"/>
  <c r="AU110" i="4"/>
  <c r="AU104" i="4"/>
  <c r="AQ104" i="4" s="1"/>
  <c r="AU79" i="4"/>
  <c r="AU84" i="4"/>
  <c r="AT108" i="4"/>
  <c r="AQ108" i="4" s="1"/>
  <c r="AU100" i="4"/>
  <c r="AT71" i="4"/>
  <c r="AR71" i="4" s="1"/>
  <c r="AU77" i="4"/>
  <c r="AT103" i="4"/>
  <c r="AQ103" i="4" s="1"/>
  <c r="AU99" i="4"/>
  <c r="AU73" i="4"/>
  <c r="AR73" i="4" s="1"/>
  <c r="AR84" i="4"/>
  <c r="AU72" i="4"/>
  <c r="AR72" i="4" s="1"/>
  <c r="AT98" i="4"/>
  <c r="AT83" i="4"/>
  <c r="AR83" i="4" s="1"/>
  <c r="AU88" i="4"/>
  <c r="AT105" i="4"/>
  <c r="AQ105" i="4" s="1"/>
  <c r="AU107" i="4"/>
  <c r="AR107" i="4" s="1"/>
  <c r="AT95" i="4"/>
  <c r="AR95" i="4" s="1"/>
  <c r="AU82" i="4"/>
  <c r="AT75" i="4"/>
  <c r="AR75" i="4" s="1"/>
  <c r="AT78" i="4"/>
  <c r="AQ78" i="4" s="1"/>
  <c r="AT87" i="4"/>
  <c r="AR87" i="4" s="1"/>
  <c r="AU96" i="4"/>
  <c r="AU74" i="4"/>
  <c r="AR74" i="4" s="1"/>
  <c r="AU76" i="4"/>
  <c r="AU111" i="4"/>
  <c r="AQ111" i="4" s="1"/>
  <c r="AT102" i="4"/>
  <c r="AQ102" i="4" s="1"/>
  <c r="AR106" i="4"/>
  <c r="AQ107" i="4"/>
  <c r="AY107" i="4" s="1"/>
  <c r="AR82" i="4"/>
  <c r="AQ82" i="4"/>
  <c r="AY82" i="4" s="1"/>
  <c r="AR91" i="4"/>
  <c r="AQ91" i="4"/>
  <c r="AY91" i="4" s="1"/>
  <c r="AT86" i="4"/>
  <c r="AQ86" i="4" s="1"/>
  <c r="AR99" i="4"/>
  <c r="AQ89" i="4"/>
  <c r="AR89" i="4"/>
  <c r="AU109" i="4"/>
  <c r="AT92" i="4"/>
  <c r="AQ92" i="4" s="1"/>
  <c r="AQ88" i="4"/>
  <c r="AR88" i="4"/>
  <c r="AR79" i="4"/>
  <c r="AQ79" i="4"/>
  <c r="AY79" i="4" s="1"/>
  <c r="AT101" i="4"/>
  <c r="AQ101" i="4" s="1"/>
  <c r="AU97" i="4"/>
  <c r="AQ97" i="4" s="1"/>
  <c r="AR77" i="4"/>
  <c r="AQ77" i="4"/>
  <c r="AY77" i="4" s="1"/>
  <c r="AQ72" i="4"/>
  <c r="AY72" i="4" s="1"/>
  <c r="AQ99" i="4"/>
  <c r="AY99" i="4" s="1"/>
  <c r="AR100" i="4"/>
  <c r="AQ100" i="4"/>
  <c r="AY100" i="4" s="1"/>
  <c r="AQ81" i="4"/>
  <c r="AR81" i="4"/>
  <c r="AU90" i="4"/>
  <c r="AR90" i="4" s="1"/>
  <c r="AR110" i="4"/>
  <c r="AQ110" i="4"/>
  <c r="AU80" i="4"/>
  <c r="AQ80" i="4" s="1"/>
  <c r="AQ84" i="4"/>
  <c r="AV84" i="4" s="1"/>
  <c r="AQ96" i="4"/>
  <c r="AY96" i="4" s="1"/>
  <c r="AR96" i="4"/>
  <c r="AQ93" i="4"/>
  <c r="AY93" i="4" s="1"/>
  <c r="AR93" i="4"/>
  <c r="AU94" i="4"/>
  <c r="AQ94" i="4" s="1"/>
  <c r="AQ98" i="4"/>
  <c r="AR98" i="4"/>
  <c r="AQ76" i="4"/>
  <c r="AR76" i="4"/>
  <c r="AR85" i="4"/>
  <c r="AQ85" i="4"/>
  <c r="AY85" i="4" s="1"/>
  <c r="AR60" i="4"/>
  <c r="AY60" i="4" s="1"/>
  <c r="AQ58" i="4"/>
  <c r="AY58" i="4" s="1"/>
  <c r="AR54" i="4"/>
  <c r="AY54" i="4" s="1"/>
  <c r="AQ52" i="4"/>
  <c r="AR50" i="4"/>
  <c r="AX50" i="4" s="1"/>
  <c r="AR69" i="4"/>
  <c r="AX69" i="4" s="1"/>
  <c r="AQ66" i="4"/>
  <c r="AQ46" i="4"/>
  <c r="AR61" i="4"/>
  <c r="AR53" i="4"/>
  <c r="AX53" i="4" s="1"/>
  <c r="AR51" i="4"/>
  <c r="AV51" i="4" s="1"/>
  <c r="AR70" i="4"/>
  <c r="AX70" i="4" s="1"/>
  <c r="AR44" i="4"/>
  <c r="AY44" i="4" s="1"/>
  <c r="AR49" i="4"/>
  <c r="AX49" i="4" s="1"/>
  <c r="AR65" i="4"/>
  <c r="AY65" i="4" s="1"/>
  <c r="AR62" i="4"/>
  <c r="AY62" i="4" s="1"/>
  <c r="AR48" i="4"/>
  <c r="AX48" i="4" s="1"/>
  <c r="AR112" i="4"/>
  <c r="AV112" i="4" s="1"/>
  <c r="AR64" i="4"/>
  <c r="AX64" i="4" s="1"/>
  <c r="AQ56" i="4"/>
  <c r="AY56" i="4" s="1"/>
  <c r="AQ68" i="4"/>
  <c r="AV60" i="4"/>
  <c r="BI60" i="4" s="1"/>
  <c r="BJ60" i="4" s="1"/>
  <c r="BL60" i="4" s="1"/>
  <c r="AX60" i="4"/>
  <c r="AT47" i="4"/>
  <c r="AU47" i="4"/>
  <c r="AU57" i="4"/>
  <c r="AT57" i="4"/>
  <c r="AX54" i="4"/>
  <c r="AV54" i="4"/>
  <c r="AT55" i="4"/>
  <c r="AU55" i="4"/>
  <c r="AO45" i="4"/>
  <c r="AT63" i="4"/>
  <c r="AU63" i="4"/>
  <c r="AQ61" i="4"/>
  <c r="AY61" i="4" s="1"/>
  <c r="AT67" i="4"/>
  <c r="AU67" i="4"/>
  <c r="AT59" i="4"/>
  <c r="AU59" i="4"/>
  <c r="D25" i="5"/>
  <c r="AY76" i="4" l="1"/>
  <c r="AY98" i="4"/>
  <c r="AY110" i="4"/>
  <c r="AY81" i="4"/>
  <c r="AY88" i="4"/>
  <c r="AY89" i="4"/>
  <c r="AY106" i="4"/>
  <c r="AX68" i="4"/>
  <c r="AY68" i="4"/>
  <c r="AX66" i="4"/>
  <c r="AY66" i="4"/>
  <c r="AY51" i="4"/>
  <c r="AY64" i="4"/>
  <c r="AY48" i="4"/>
  <c r="AY50" i="4"/>
  <c r="AY112" i="4"/>
  <c r="AX46" i="4"/>
  <c r="AY46" i="4"/>
  <c r="AV52" i="4"/>
  <c r="BX52" i="4" s="1"/>
  <c r="AY52" i="4"/>
  <c r="AY53" i="4"/>
  <c r="AY84" i="4"/>
  <c r="AY69" i="4"/>
  <c r="AY70" i="4"/>
  <c r="AY49" i="4"/>
  <c r="AU36" i="4"/>
  <c r="AQ36" i="4" s="1"/>
  <c r="AT39" i="4"/>
  <c r="AR39" i="4" s="1"/>
  <c r="AU42" i="4"/>
  <c r="AQ42" i="4" s="1"/>
  <c r="AU37" i="4"/>
  <c r="AU41" i="4"/>
  <c r="AQ41" i="4" s="1"/>
  <c r="AT35" i="4"/>
  <c r="AR35" i="4" s="1"/>
  <c r="AT33" i="4"/>
  <c r="AR33" i="4" s="1"/>
  <c r="AU38" i="4"/>
  <c r="AR38" i="4" s="1"/>
  <c r="AJ28" i="4"/>
  <c r="AT34" i="4"/>
  <c r="AR34" i="4" s="1"/>
  <c r="AT40" i="4"/>
  <c r="AR40" i="4" s="1"/>
  <c r="AQ43" i="4"/>
  <c r="AY43" i="4" s="1"/>
  <c r="F170" i="4"/>
  <c r="AC22" i="4" s="1"/>
  <c r="AV58" i="4"/>
  <c r="BU58" i="4" s="1"/>
  <c r="BV58" i="4" s="1"/>
  <c r="CD58" i="4" s="1"/>
  <c r="AQ83" i="4"/>
  <c r="AX107" i="4"/>
  <c r="AQ74" i="4"/>
  <c r="AY74" i="4" s="1"/>
  <c r="AR105" i="4"/>
  <c r="AX105" i="4" s="1"/>
  <c r="AV107" i="4"/>
  <c r="P107" i="4" s="1"/>
  <c r="BK107" i="4" s="1"/>
  <c r="AR108" i="4"/>
  <c r="AX108" i="4" s="1"/>
  <c r="AR101" i="4"/>
  <c r="AY101" i="4" s="1"/>
  <c r="AR103" i="4"/>
  <c r="AV103" i="4" s="1"/>
  <c r="BI103" i="4" s="1"/>
  <c r="BJ103" i="4" s="1"/>
  <c r="BM103" i="4" s="1"/>
  <c r="AR86" i="4"/>
  <c r="AY86" i="4" s="1"/>
  <c r="AR104" i="4"/>
  <c r="AY104" i="4" s="1"/>
  <c r="AR97" i="4"/>
  <c r="AV97" i="4" s="1"/>
  <c r="AR92" i="4"/>
  <c r="AY92" i="4" s="1"/>
  <c r="AQ71" i="4"/>
  <c r="AQ73" i="4"/>
  <c r="AR111" i="4"/>
  <c r="AY111" i="4" s="1"/>
  <c r="AQ95" i="4"/>
  <c r="AQ90" i="4"/>
  <c r="AY90" i="4" s="1"/>
  <c r="AX83" i="4"/>
  <c r="AR78" i="4"/>
  <c r="AY78" i="4" s="1"/>
  <c r="AQ75" i="4"/>
  <c r="AR102" i="4"/>
  <c r="AV102" i="4" s="1"/>
  <c r="AQ87" i="4"/>
  <c r="AY87" i="4" s="1"/>
  <c r="AR80" i="4"/>
  <c r="AY80" i="4" s="1"/>
  <c r="AV110" i="4"/>
  <c r="BU110" i="4" s="1"/>
  <c r="BV110" i="4" s="1"/>
  <c r="CD110" i="4" s="1"/>
  <c r="AX101" i="4"/>
  <c r="AW103" i="4"/>
  <c r="AW84" i="4"/>
  <c r="O84" i="4" s="1"/>
  <c r="BU84" i="4"/>
  <c r="BV84" i="4" s="1"/>
  <c r="CD84" i="4" s="1"/>
  <c r="BY84" i="4"/>
  <c r="BI84" i="4"/>
  <c r="BJ84" i="4" s="1"/>
  <c r="BP84" i="4" s="1"/>
  <c r="BW84" i="4"/>
  <c r="P84" i="4"/>
  <c r="BK84" i="4" s="1"/>
  <c r="BX84" i="4"/>
  <c r="AX100" i="4"/>
  <c r="AV100" i="4"/>
  <c r="AX89" i="4"/>
  <c r="AV89" i="4"/>
  <c r="AX84" i="4"/>
  <c r="AX106" i="4"/>
  <c r="AV106" i="4"/>
  <c r="AV99" i="4"/>
  <c r="AV90" i="4"/>
  <c r="AV76" i="4"/>
  <c r="AX76" i="4"/>
  <c r="AX96" i="4"/>
  <c r="AV96" i="4"/>
  <c r="AW107" i="4"/>
  <c r="AV92" i="4"/>
  <c r="AX72" i="4"/>
  <c r="AV72" i="4"/>
  <c r="AV101" i="4"/>
  <c r="AV88" i="4"/>
  <c r="AX88" i="4"/>
  <c r="AW83" i="4"/>
  <c r="BI83" i="4"/>
  <c r="BJ83" i="4" s="1"/>
  <c r="AX82" i="4"/>
  <c r="AV82" i="4"/>
  <c r="AX99" i="4"/>
  <c r="AR94" i="4"/>
  <c r="AY94" i="4" s="1"/>
  <c r="AX85" i="4"/>
  <c r="AV85" i="4"/>
  <c r="BI110" i="4"/>
  <c r="BJ110" i="4" s="1"/>
  <c r="AX71" i="4"/>
  <c r="AX79" i="4"/>
  <c r="AV79" i="4"/>
  <c r="AQ109" i="4"/>
  <c r="AR109" i="4"/>
  <c r="AV104" i="4"/>
  <c r="AX104" i="4"/>
  <c r="AX90" i="4"/>
  <c r="AX111" i="4"/>
  <c r="AV111" i="4"/>
  <c r="AX98" i="4"/>
  <c r="AV98" i="4"/>
  <c r="AX93" i="4"/>
  <c r="AV93" i="4"/>
  <c r="AV80" i="4"/>
  <c r="AX92" i="4"/>
  <c r="AV81" i="4"/>
  <c r="AX81" i="4"/>
  <c r="AX74" i="4"/>
  <c r="AV74" i="4"/>
  <c r="AX95" i="4"/>
  <c r="AX77" i="4"/>
  <c r="AV77" i="4"/>
  <c r="AV91" i="4"/>
  <c r="AX91" i="4"/>
  <c r="AV108" i="4"/>
  <c r="AX110" i="4"/>
  <c r="AV69" i="4"/>
  <c r="BI69" i="4" s="1"/>
  <c r="BJ69" i="4" s="1"/>
  <c r="BL69" i="4" s="1"/>
  <c r="AX58" i="4"/>
  <c r="AV50" i="4"/>
  <c r="BI50" i="4" s="1"/>
  <c r="BJ50" i="4" s="1"/>
  <c r="BQ50" i="4" s="1"/>
  <c r="AX52" i="4"/>
  <c r="AV66" i="4"/>
  <c r="BI66" i="4" s="1"/>
  <c r="BJ66" i="4" s="1"/>
  <c r="BL66" i="4" s="1"/>
  <c r="AV48" i="4"/>
  <c r="BU48" i="4" s="1"/>
  <c r="BV48" i="4" s="1"/>
  <c r="CD48" i="4" s="1"/>
  <c r="AW51" i="4"/>
  <c r="O51" i="4" s="1"/>
  <c r="BA51" i="4" s="1"/>
  <c r="BU51" i="4"/>
  <c r="BV51" i="4" s="1"/>
  <c r="CD51" i="4" s="1"/>
  <c r="BX51" i="4"/>
  <c r="BI51" i="4"/>
  <c r="BJ51" i="4" s="1"/>
  <c r="BQ51" i="4" s="1"/>
  <c r="BY51" i="4"/>
  <c r="BW51" i="4"/>
  <c r="P51" i="4"/>
  <c r="BK51" i="4" s="1"/>
  <c r="AX51" i="4"/>
  <c r="AV46" i="4"/>
  <c r="P46" i="4" s="1"/>
  <c r="BK46" i="4" s="1"/>
  <c r="AV53" i="4"/>
  <c r="BY53" i="4" s="1"/>
  <c r="AV44" i="4"/>
  <c r="BU44" i="4" s="1"/>
  <c r="BV44" i="4" s="1"/>
  <c r="CD44" i="4" s="1"/>
  <c r="AV49" i="4"/>
  <c r="BX49" i="4" s="1"/>
  <c r="AV62" i="4"/>
  <c r="BW62" i="4" s="1"/>
  <c r="AX44" i="4"/>
  <c r="AV70" i="4"/>
  <c r="BI70" i="4" s="1"/>
  <c r="BJ70" i="4" s="1"/>
  <c r="BQ70" i="4" s="1"/>
  <c r="AX56" i="4"/>
  <c r="BW52" i="4"/>
  <c r="AX65" i="4"/>
  <c r="AV65" i="4"/>
  <c r="BI65" i="4" s="1"/>
  <c r="BJ65" i="4" s="1"/>
  <c r="BM65" i="4" s="1"/>
  <c r="BX60" i="4"/>
  <c r="BY52" i="4"/>
  <c r="AX62" i="4"/>
  <c r="P52" i="4"/>
  <c r="BK52" i="4" s="1"/>
  <c r="AW52" i="4"/>
  <c r="O52" i="4" s="1"/>
  <c r="BF52" i="4" s="1"/>
  <c r="BU52" i="4"/>
  <c r="BV52" i="4" s="1"/>
  <c r="CD52" i="4" s="1"/>
  <c r="BI52" i="4"/>
  <c r="BJ52" i="4" s="1"/>
  <c r="BP52" i="4" s="1"/>
  <c r="AR47" i="4"/>
  <c r="BQ60" i="4"/>
  <c r="AX112" i="4"/>
  <c r="BW60" i="4"/>
  <c r="AW60" i="4"/>
  <c r="O60" i="4" s="1"/>
  <c r="BE60" i="4" s="1"/>
  <c r="AV56" i="4"/>
  <c r="P60" i="4"/>
  <c r="BK60" i="4" s="1"/>
  <c r="BY60" i="4"/>
  <c r="AV64" i="4"/>
  <c r="BI64" i="4" s="1"/>
  <c r="BJ64" i="4" s="1"/>
  <c r="BM64" i="4" s="1"/>
  <c r="BU60" i="4"/>
  <c r="BV60" i="4" s="1"/>
  <c r="CD60" i="4" s="1"/>
  <c r="AQ57" i="4"/>
  <c r="AR57" i="4"/>
  <c r="AQ59" i="4"/>
  <c r="AV68" i="4"/>
  <c r="P68" i="4" s="1"/>
  <c r="BK68" i="4" s="1"/>
  <c r="AQ47" i="4"/>
  <c r="AY47" i="4" s="1"/>
  <c r="AR59" i="4"/>
  <c r="AV61" i="4"/>
  <c r="AX61" i="4"/>
  <c r="AR67" i="4"/>
  <c r="BP60" i="4"/>
  <c r="P54" i="4"/>
  <c r="BK54" i="4" s="1"/>
  <c r="BX54" i="4"/>
  <c r="BY54" i="4"/>
  <c r="BI54" i="4"/>
  <c r="BJ54" i="4" s="1"/>
  <c r="BL54" i="4" s="1"/>
  <c r="BW54" i="4"/>
  <c r="BU54" i="4"/>
  <c r="BV54" i="4" s="1"/>
  <c r="CD54" i="4" s="1"/>
  <c r="AW54" i="4"/>
  <c r="O54" i="4" s="1"/>
  <c r="AQ67" i="4"/>
  <c r="P58" i="4"/>
  <c r="BK58" i="4" s="1"/>
  <c r="BI58" i="4"/>
  <c r="BJ58" i="4" s="1"/>
  <c r="BY58" i="4"/>
  <c r="AW58" i="4"/>
  <c r="BM60" i="4"/>
  <c r="BN60" i="4" s="1"/>
  <c r="AQ63" i="4"/>
  <c r="AR63" i="4"/>
  <c r="AQ55" i="4"/>
  <c r="AR55" i="4"/>
  <c r="P112" i="4"/>
  <c r="BK112" i="4" s="1"/>
  <c r="BX112" i="4"/>
  <c r="BU112" i="4"/>
  <c r="BV112" i="4" s="1"/>
  <c r="CD112" i="4" s="1"/>
  <c r="BI112" i="4"/>
  <c r="BJ112" i="4" s="1"/>
  <c r="BP112" i="4" s="1"/>
  <c r="BY112" i="4"/>
  <c r="BW112" i="4"/>
  <c r="AW112" i="4"/>
  <c r="O112" i="4" s="1"/>
  <c r="AT45" i="4"/>
  <c r="AU45" i="4"/>
  <c r="AO31" i="4"/>
  <c r="AN28" i="4" s="1"/>
  <c r="D28" i="5"/>
  <c r="D29" i="5" s="1"/>
  <c r="AY59" i="4" l="1"/>
  <c r="AY57" i="4"/>
  <c r="AY55" i="4"/>
  <c r="AY63" i="4"/>
  <c r="AY67" i="4"/>
  <c r="AV71" i="4"/>
  <c r="AY71" i="4"/>
  <c r="AV83" i="4"/>
  <c r="P83" i="4" s="1"/>
  <c r="BK83" i="4" s="1"/>
  <c r="AY83" i="4"/>
  <c r="AY102" i="4"/>
  <c r="AY97" i="4"/>
  <c r="AY108" i="4"/>
  <c r="AY105" i="4"/>
  <c r="AY109" i="4"/>
  <c r="AX75" i="4"/>
  <c r="AY75" i="4"/>
  <c r="AV95" i="4"/>
  <c r="AY95" i="4"/>
  <c r="AV73" i="4"/>
  <c r="AY73" i="4"/>
  <c r="AY103" i="4"/>
  <c r="O103" i="4"/>
  <c r="BE103" i="4" s="1"/>
  <c r="AQ39" i="4"/>
  <c r="AR36" i="4"/>
  <c r="AX36" i="4" s="1"/>
  <c r="BL84" i="4"/>
  <c r="BF103" i="4"/>
  <c r="O107" i="4"/>
  <c r="BE107" i="4" s="1"/>
  <c r="BX110" i="4"/>
  <c r="BY103" i="4"/>
  <c r="BW107" i="4"/>
  <c r="BY110" i="4"/>
  <c r="BW110" i="4"/>
  <c r="AE24" i="4"/>
  <c r="H26" i="4" s="1"/>
  <c r="AC24" i="4"/>
  <c r="F26" i="4" s="1"/>
  <c r="AQ33" i="4"/>
  <c r="AQ38" i="4"/>
  <c r="AR41" i="4"/>
  <c r="AY41" i="4" s="1"/>
  <c r="AU31" i="4"/>
  <c r="AV43" i="4"/>
  <c r="P43" i="4" s="1"/>
  <c r="BK43" i="4" s="1"/>
  <c r="AR42" i="4"/>
  <c r="AV42" i="4" s="1"/>
  <c r="AW42" i="4" s="1"/>
  <c r="O42" i="4" s="1"/>
  <c r="BA42" i="4" s="1"/>
  <c r="AX43" i="4"/>
  <c r="AQ35" i="4"/>
  <c r="AQ37" i="4"/>
  <c r="AR37" i="4"/>
  <c r="AQ34" i="4"/>
  <c r="AY34" i="4" s="1"/>
  <c r="AQ40" i="4"/>
  <c r="AG24" i="4"/>
  <c r="J26" i="4" s="1"/>
  <c r="AF24" i="4"/>
  <c r="I26" i="4" s="1"/>
  <c r="AH24" i="4"/>
  <c r="K26" i="4" s="1"/>
  <c r="AD24" i="4"/>
  <c r="G26" i="4" s="1"/>
  <c r="AJ23" i="4"/>
  <c r="M25" i="4" s="1"/>
  <c r="AH23" i="4"/>
  <c r="K25" i="4" s="1"/>
  <c r="AF23" i="4"/>
  <c r="I25" i="4" s="1"/>
  <c r="AK23" i="4"/>
  <c r="N25" i="4" s="1"/>
  <c r="AG23" i="4"/>
  <c r="J25" i="4" s="1"/>
  <c r="AI23" i="4"/>
  <c r="L25" i="4" s="1"/>
  <c r="AC23" i="4"/>
  <c r="F25" i="4" s="1"/>
  <c r="AE23" i="4"/>
  <c r="H25" i="4" s="1"/>
  <c r="AD23" i="4"/>
  <c r="G25" i="4" s="1"/>
  <c r="BY83" i="4"/>
  <c r="BX83" i="4"/>
  <c r="BX58" i="4"/>
  <c r="BW83" i="4"/>
  <c r="BW58" i="4"/>
  <c r="BQ69" i="4"/>
  <c r="P69" i="4"/>
  <c r="BK69" i="4" s="1"/>
  <c r="O83" i="4"/>
  <c r="BF83" i="4" s="1"/>
  <c r="BU83" i="4"/>
  <c r="BV83" i="4" s="1"/>
  <c r="CD83" i="4" s="1"/>
  <c r="O58" i="4"/>
  <c r="BE58" i="4" s="1"/>
  <c r="BL58" i="4"/>
  <c r="BQ84" i="4"/>
  <c r="BR84" i="4" s="1"/>
  <c r="BP69" i="4"/>
  <c r="BM69" i="4"/>
  <c r="BN69" i="4" s="1"/>
  <c r="BW50" i="4"/>
  <c r="BA103" i="4"/>
  <c r="P103" i="4"/>
  <c r="BK103" i="4" s="1"/>
  <c r="AV87" i="4"/>
  <c r="P87" i="4" s="1"/>
  <c r="BK87" i="4" s="1"/>
  <c r="BP103" i="4"/>
  <c r="BL103" i="4"/>
  <c r="BN103" i="4" s="1"/>
  <c r="AX103" i="4"/>
  <c r="BW103" i="4"/>
  <c r="BX103" i="4"/>
  <c r="AX87" i="4"/>
  <c r="BU103" i="4"/>
  <c r="BV103" i="4" s="1"/>
  <c r="CD103" i="4" s="1"/>
  <c r="AV78" i="4"/>
  <c r="BM84" i="4"/>
  <c r="AX78" i="4"/>
  <c r="P50" i="4"/>
  <c r="BK50" i="4" s="1"/>
  <c r="AV75" i="4"/>
  <c r="BW75" i="4" s="1"/>
  <c r="AV105" i="4"/>
  <c r="AW105" i="4" s="1"/>
  <c r="O105" i="4" s="1"/>
  <c r="BX107" i="4"/>
  <c r="AV86" i="4"/>
  <c r="BU86" i="4" s="1"/>
  <c r="BV86" i="4" s="1"/>
  <c r="CD86" i="4" s="1"/>
  <c r="BI107" i="4"/>
  <c r="BJ107" i="4" s="1"/>
  <c r="BM107" i="4" s="1"/>
  <c r="BY107" i="4"/>
  <c r="BY50" i="4"/>
  <c r="BU107" i="4"/>
  <c r="BV107" i="4" s="1"/>
  <c r="CD107" i="4" s="1"/>
  <c r="AX97" i="4"/>
  <c r="AX86" i="4"/>
  <c r="AX102" i="4"/>
  <c r="AX73" i="4"/>
  <c r="BQ103" i="4"/>
  <c r="AX80" i="4"/>
  <c r="BX69" i="4"/>
  <c r="BI87" i="4"/>
  <c r="BJ87" i="4" s="1"/>
  <c r="AW87" i="4"/>
  <c r="AW110" i="4"/>
  <c r="O110" i="4" s="1"/>
  <c r="P110" i="4"/>
  <c r="BK110" i="4" s="1"/>
  <c r="BI74" i="4"/>
  <c r="BJ74" i="4" s="1"/>
  <c r="BU74" i="4"/>
  <c r="BV74" i="4" s="1"/>
  <c r="CD74" i="4" s="1"/>
  <c r="AW74" i="4"/>
  <c r="O74" i="4" s="1"/>
  <c r="BY74" i="4"/>
  <c r="BW74" i="4"/>
  <c r="P74" i="4"/>
  <c r="BK74" i="4" s="1"/>
  <c r="BX74" i="4"/>
  <c r="AX109" i="4"/>
  <c r="AV109" i="4"/>
  <c r="BI86" i="4"/>
  <c r="BJ86" i="4" s="1"/>
  <c r="AW86" i="4"/>
  <c r="AW82" i="4"/>
  <c r="O82" i="4" s="1"/>
  <c r="BU82" i="4"/>
  <c r="BV82" i="4" s="1"/>
  <c r="CD82" i="4" s="1"/>
  <c r="BW82" i="4"/>
  <c r="BY82" i="4"/>
  <c r="BX82" i="4"/>
  <c r="BI82" i="4"/>
  <c r="BJ82" i="4" s="1"/>
  <c r="P82" i="4"/>
  <c r="BK82" i="4" s="1"/>
  <c r="BP83" i="4"/>
  <c r="BM83" i="4"/>
  <c r="BQ83" i="4"/>
  <c r="BL83" i="4"/>
  <c r="BA83" i="4"/>
  <c r="BI72" i="4"/>
  <c r="BJ72" i="4" s="1"/>
  <c r="BX72" i="4"/>
  <c r="AW72" i="4"/>
  <c r="O72" i="4" s="1"/>
  <c r="BU72" i="4"/>
  <c r="BV72" i="4" s="1"/>
  <c r="CD72" i="4" s="1"/>
  <c r="BW72" i="4"/>
  <c r="BY72" i="4"/>
  <c r="P72" i="4"/>
  <c r="BK72" i="4" s="1"/>
  <c r="BA107" i="4"/>
  <c r="BI76" i="4"/>
  <c r="BJ76" i="4" s="1"/>
  <c r="BX76" i="4"/>
  <c r="AW76" i="4"/>
  <c r="O76" i="4" s="1"/>
  <c r="BU76" i="4"/>
  <c r="BV76" i="4" s="1"/>
  <c r="CD76" i="4" s="1"/>
  <c r="BW76" i="4"/>
  <c r="BY76" i="4"/>
  <c r="P76" i="4"/>
  <c r="BK76" i="4" s="1"/>
  <c r="BY102" i="4"/>
  <c r="P102" i="4"/>
  <c r="BK102" i="4" s="1"/>
  <c r="BI102" i="4"/>
  <c r="BJ102" i="4" s="1"/>
  <c r="BX102" i="4"/>
  <c r="AW102" i="4"/>
  <c r="O102" i="4" s="1"/>
  <c r="BU102" i="4"/>
  <c r="BV102" i="4" s="1"/>
  <c r="CD102" i="4" s="1"/>
  <c r="BW102" i="4"/>
  <c r="BX106" i="4"/>
  <c r="AW106" i="4"/>
  <c r="O106" i="4" s="1"/>
  <c r="BU106" i="4"/>
  <c r="BV106" i="4" s="1"/>
  <c r="CD106" i="4" s="1"/>
  <c r="BW106" i="4"/>
  <c r="BY106" i="4"/>
  <c r="P106" i="4"/>
  <c r="BK106" i="4" s="1"/>
  <c r="BI106" i="4"/>
  <c r="BJ106" i="4" s="1"/>
  <c r="AW89" i="4"/>
  <c r="O89" i="4" s="1"/>
  <c r="BY89" i="4"/>
  <c r="BW89" i="4"/>
  <c r="P89" i="4"/>
  <c r="BK89" i="4" s="1"/>
  <c r="BX89" i="4"/>
  <c r="BI89" i="4"/>
  <c r="BJ89" i="4" s="1"/>
  <c r="BU89" i="4"/>
  <c r="BV89" i="4" s="1"/>
  <c r="CD89" i="4" s="1"/>
  <c r="BF84" i="4"/>
  <c r="BA84" i="4"/>
  <c r="BE84" i="4"/>
  <c r="AW108" i="4"/>
  <c r="O108" i="4" s="1"/>
  <c r="BY108" i="4"/>
  <c r="BW108" i="4"/>
  <c r="P108" i="4"/>
  <c r="BK108" i="4" s="1"/>
  <c r="BX108" i="4"/>
  <c r="BI108" i="4"/>
  <c r="BJ108" i="4" s="1"/>
  <c r="BU108" i="4"/>
  <c r="BV108" i="4" s="1"/>
  <c r="CD108" i="4" s="1"/>
  <c r="BY73" i="4"/>
  <c r="BW73" i="4"/>
  <c r="BU73" i="4"/>
  <c r="BV73" i="4" s="1"/>
  <c r="CD73" i="4" s="1"/>
  <c r="AW73" i="4"/>
  <c r="O73" i="4" s="1"/>
  <c r="P73" i="4"/>
  <c r="BK73" i="4" s="1"/>
  <c r="BI73" i="4"/>
  <c r="BJ73" i="4" s="1"/>
  <c r="BM73" i="4" s="1"/>
  <c r="BX73" i="4"/>
  <c r="BU81" i="4"/>
  <c r="BV81" i="4" s="1"/>
  <c r="CD81" i="4" s="1"/>
  <c r="BW81" i="4"/>
  <c r="BY81" i="4"/>
  <c r="P81" i="4"/>
  <c r="BK81" i="4" s="1"/>
  <c r="BI81" i="4"/>
  <c r="BJ81" i="4" s="1"/>
  <c r="BX81" i="4"/>
  <c r="AW81" i="4"/>
  <c r="O81" i="4" s="1"/>
  <c r="BX80" i="4"/>
  <c r="AW80" i="4"/>
  <c r="O80" i="4" s="1"/>
  <c r="BY80" i="4"/>
  <c r="BW80" i="4"/>
  <c r="P80" i="4"/>
  <c r="BK80" i="4" s="1"/>
  <c r="BI80" i="4"/>
  <c r="BJ80" i="4" s="1"/>
  <c r="BU80" i="4"/>
  <c r="BV80" i="4" s="1"/>
  <c r="CD80" i="4" s="1"/>
  <c r="AW93" i="4"/>
  <c r="O93" i="4" s="1"/>
  <c r="BY93" i="4"/>
  <c r="BW93" i="4"/>
  <c r="P93" i="4"/>
  <c r="BK93" i="4" s="1"/>
  <c r="BX93" i="4"/>
  <c r="BI93" i="4"/>
  <c r="BJ93" i="4" s="1"/>
  <c r="BU93" i="4"/>
  <c r="BV93" i="4" s="1"/>
  <c r="CD93" i="4" s="1"/>
  <c r="BU98" i="4"/>
  <c r="BV98" i="4" s="1"/>
  <c r="CD98" i="4" s="1"/>
  <c r="BW98" i="4"/>
  <c r="BY98" i="4"/>
  <c r="AW98" i="4"/>
  <c r="O98" i="4" s="1"/>
  <c r="BI98" i="4"/>
  <c r="BJ98" i="4" s="1"/>
  <c r="P98" i="4"/>
  <c r="BK98" i="4" s="1"/>
  <c r="BX98" i="4"/>
  <c r="AW75" i="4"/>
  <c r="BI75" i="4"/>
  <c r="BJ75" i="4" s="1"/>
  <c r="AW104" i="4"/>
  <c r="O104" i="4" s="1"/>
  <c r="BU104" i="4"/>
  <c r="BV104" i="4" s="1"/>
  <c r="CD104" i="4" s="1"/>
  <c r="BI104" i="4"/>
  <c r="BJ104" i="4" s="1"/>
  <c r="BQ104" i="4" s="1"/>
  <c r="BY104" i="4"/>
  <c r="P104" i="4"/>
  <c r="BK104" i="4" s="1"/>
  <c r="BX104" i="4"/>
  <c r="BW104" i="4"/>
  <c r="BI79" i="4"/>
  <c r="BJ79" i="4" s="1"/>
  <c r="BY79" i="4"/>
  <c r="BU79" i="4"/>
  <c r="BV79" i="4" s="1"/>
  <c r="CD79" i="4" s="1"/>
  <c r="P79" i="4"/>
  <c r="BK79" i="4" s="1"/>
  <c r="BX79" i="4"/>
  <c r="BW79" i="4"/>
  <c r="AW79" i="4"/>
  <c r="O79" i="4" s="1"/>
  <c r="AW71" i="4"/>
  <c r="BY71" i="4"/>
  <c r="BW71" i="4"/>
  <c r="BI71" i="4"/>
  <c r="BJ71" i="4" s="1"/>
  <c r="BX71" i="4"/>
  <c r="BU71" i="4"/>
  <c r="BV71" i="4" s="1"/>
  <c r="CD71" i="4" s="1"/>
  <c r="BI88" i="4"/>
  <c r="BJ88" i="4" s="1"/>
  <c r="BM88" i="4" s="1"/>
  <c r="AW88" i="4"/>
  <c r="O88" i="4" s="1"/>
  <c r="P88" i="4"/>
  <c r="BK88" i="4" s="1"/>
  <c r="BU88" i="4"/>
  <c r="BV88" i="4" s="1"/>
  <c r="CD88" i="4" s="1"/>
  <c r="BY88" i="4"/>
  <c r="BW88" i="4"/>
  <c r="BX88" i="4"/>
  <c r="AW77" i="4"/>
  <c r="O77" i="4" s="1"/>
  <c r="P77" i="4"/>
  <c r="BK77" i="4" s="1"/>
  <c r="BW77" i="4"/>
  <c r="BU77" i="4"/>
  <c r="BV77" i="4" s="1"/>
  <c r="CD77" i="4" s="1"/>
  <c r="BX77" i="4"/>
  <c r="BY77" i="4"/>
  <c r="BI77" i="4"/>
  <c r="BJ77" i="4" s="1"/>
  <c r="BY97" i="4"/>
  <c r="BI97" i="4"/>
  <c r="BJ97" i="4" s="1"/>
  <c r="BU97" i="4"/>
  <c r="BV97" i="4" s="1"/>
  <c r="CD97" i="4" s="1"/>
  <c r="AW97" i="4"/>
  <c r="O97" i="4" s="1"/>
  <c r="BW97" i="4"/>
  <c r="BX97" i="4"/>
  <c r="P97" i="4"/>
  <c r="BK97" i="4" s="1"/>
  <c r="BW101" i="4"/>
  <c r="BI101" i="4"/>
  <c r="BJ101" i="4" s="1"/>
  <c r="BL101" i="4" s="1"/>
  <c r="BX101" i="4"/>
  <c r="P101" i="4"/>
  <c r="BK101" i="4" s="1"/>
  <c r="BU101" i="4"/>
  <c r="BV101" i="4" s="1"/>
  <c r="CD101" i="4" s="1"/>
  <c r="AW101" i="4"/>
  <c r="O101" i="4" s="1"/>
  <c r="BY101" i="4"/>
  <c r="AX94" i="4"/>
  <c r="BX90" i="4"/>
  <c r="AW90" i="4"/>
  <c r="O90" i="4" s="1"/>
  <c r="BW90" i="4"/>
  <c r="BU90" i="4"/>
  <c r="BV90" i="4" s="1"/>
  <c r="CD90" i="4" s="1"/>
  <c r="P90" i="4"/>
  <c r="BK90" i="4" s="1"/>
  <c r="BY90" i="4"/>
  <c r="BI90" i="4"/>
  <c r="BJ90" i="4" s="1"/>
  <c r="BQ90" i="4" s="1"/>
  <c r="BW100" i="4"/>
  <c r="P100" i="4"/>
  <c r="BK100" i="4" s="1"/>
  <c r="BX100" i="4"/>
  <c r="BI100" i="4"/>
  <c r="BJ100" i="4" s="1"/>
  <c r="BU100" i="4"/>
  <c r="BV100" i="4" s="1"/>
  <c r="CD100" i="4" s="1"/>
  <c r="AW100" i="4"/>
  <c r="O100" i="4" s="1"/>
  <c r="BY100" i="4"/>
  <c r="AV94" i="4"/>
  <c r="BY91" i="4"/>
  <c r="P91" i="4"/>
  <c r="BK91" i="4" s="1"/>
  <c r="BI91" i="4"/>
  <c r="BJ91" i="4" s="1"/>
  <c r="BX91" i="4"/>
  <c r="AW91" i="4"/>
  <c r="O91" i="4" s="1"/>
  <c r="BU91" i="4"/>
  <c r="BV91" i="4" s="1"/>
  <c r="CD91" i="4" s="1"/>
  <c r="BW91" i="4"/>
  <c r="BX95" i="4"/>
  <c r="BW95" i="4"/>
  <c r="BI95" i="4"/>
  <c r="BJ95" i="4" s="1"/>
  <c r="BL95" i="4" s="1"/>
  <c r="BU95" i="4"/>
  <c r="BV95" i="4" s="1"/>
  <c r="CD95" i="4" s="1"/>
  <c r="P95" i="4"/>
  <c r="BK95" i="4" s="1"/>
  <c r="AW95" i="4"/>
  <c r="O95" i="4" s="1"/>
  <c r="BY95" i="4"/>
  <c r="BW111" i="4"/>
  <c r="BI111" i="4"/>
  <c r="BJ111" i="4" s="1"/>
  <c r="BX111" i="4"/>
  <c r="P111" i="4"/>
  <c r="BK111" i="4" s="1"/>
  <c r="BU111" i="4"/>
  <c r="BV111" i="4" s="1"/>
  <c r="CD111" i="4" s="1"/>
  <c r="AW111" i="4"/>
  <c r="O111" i="4" s="1"/>
  <c r="BY111" i="4"/>
  <c r="BP110" i="4"/>
  <c r="BQ110" i="4"/>
  <c r="BM110" i="4"/>
  <c r="BL110" i="4"/>
  <c r="BX85" i="4"/>
  <c r="AW85" i="4"/>
  <c r="O85" i="4" s="1"/>
  <c r="BU85" i="4"/>
  <c r="BV85" i="4" s="1"/>
  <c r="CD85" i="4" s="1"/>
  <c r="BW85" i="4"/>
  <c r="BY85" i="4"/>
  <c r="P85" i="4"/>
  <c r="BK85" i="4" s="1"/>
  <c r="BI85" i="4"/>
  <c r="BJ85" i="4" s="1"/>
  <c r="BI92" i="4"/>
  <c r="BJ92" i="4" s="1"/>
  <c r="BL92" i="4" s="1"/>
  <c r="BW92" i="4"/>
  <c r="BU92" i="4"/>
  <c r="BV92" i="4" s="1"/>
  <c r="CD92" i="4" s="1"/>
  <c r="AW92" i="4"/>
  <c r="O92" i="4" s="1"/>
  <c r="BY92" i="4"/>
  <c r="BX92" i="4"/>
  <c r="P92" i="4"/>
  <c r="BK92" i="4" s="1"/>
  <c r="BU96" i="4"/>
  <c r="BV96" i="4" s="1"/>
  <c r="CD96" i="4" s="1"/>
  <c r="BW96" i="4"/>
  <c r="BY96" i="4"/>
  <c r="BX96" i="4"/>
  <c r="BI96" i="4"/>
  <c r="BJ96" i="4" s="1"/>
  <c r="P96" i="4"/>
  <c r="BK96" i="4" s="1"/>
  <c r="AW96" i="4"/>
  <c r="O96" i="4" s="1"/>
  <c r="BY99" i="4"/>
  <c r="P99" i="4"/>
  <c r="BK99" i="4" s="1"/>
  <c r="BU99" i="4"/>
  <c r="BV99" i="4" s="1"/>
  <c r="CD99" i="4" s="1"/>
  <c r="BI99" i="4"/>
  <c r="BJ99" i="4" s="1"/>
  <c r="BQ99" i="4" s="1"/>
  <c r="BX99" i="4"/>
  <c r="BW99" i="4"/>
  <c r="AW99" i="4"/>
  <c r="O99" i="4" s="1"/>
  <c r="BP99" i="4"/>
  <c r="BU62" i="4"/>
  <c r="BV62" i="4" s="1"/>
  <c r="CD62" i="4" s="1"/>
  <c r="BF51" i="4"/>
  <c r="BE51" i="4"/>
  <c r="P70" i="4"/>
  <c r="BK70" i="4" s="1"/>
  <c r="BX62" i="4"/>
  <c r="BY46" i="4"/>
  <c r="AW62" i="4"/>
  <c r="O62" i="4" s="1"/>
  <c r="BF62" i="4" s="1"/>
  <c r="AW50" i="4"/>
  <c r="O50" i="4" s="1"/>
  <c r="BA50" i="4" s="1"/>
  <c r="BU50" i="4"/>
  <c r="BV50" i="4" s="1"/>
  <c r="CD50" i="4" s="1"/>
  <c r="BU69" i="4"/>
  <c r="BV69" i="4" s="1"/>
  <c r="CD69" i="4" s="1"/>
  <c r="AW69" i="4"/>
  <c r="O69" i="4" s="1"/>
  <c r="BE69" i="4" s="1"/>
  <c r="BX50" i="4"/>
  <c r="BY69" i="4"/>
  <c r="BW69" i="4"/>
  <c r="AW48" i="4"/>
  <c r="O48" i="4" s="1"/>
  <c r="BA48" i="4" s="1"/>
  <c r="BU53" i="4"/>
  <c r="BV53" i="4" s="1"/>
  <c r="CD53" i="4" s="1"/>
  <c r="BU68" i="4"/>
  <c r="BV68" i="4" s="1"/>
  <c r="CD68" i="4" s="1"/>
  <c r="BI53" i="4"/>
  <c r="BJ53" i="4" s="1"/>
  <c r="BL53" i="4" s="1"/>
  <c r="BW49" i="4"/>
  <c r="BL51" i="4"/>
  <c r="BM51" i="4"/>
  <c r="BX53" i="4"/>
  <c r="BI49" i="4"/>
  <c r="BJ49" i="4" s="1"/>
  <c r="BM49" i="4" s="1"/>
  <c r="BP51" i="4"/>
  <c r="BR51" i="4" s="1"/>
  <c r="BW53" i="4"/>
  <c r="BW66" i="4"/>
  <c r="AW44" i="4"/>
  <c r="O44" i="4" s="1"/>
  <c r="BF44" i="4" s="1"/>
  <c r="BX66" i="4"/>
  <c r="AW66" i="4"/>
  <c r="O66" i="4" s="1"/>
  <c r="BE66" i="4" s="1"/>
  <c r="BX48" i="4"/>
  <c r="BU66" i="4"/>
  <c r="BV66" i="4" s="1"/>
  <c r="CD66" i="4" s="1"/>
  <c r="BY66" i="4"/>
  <c r="BX65" i="4"/>
  <c r="BW48" i="4"/>
  <c r="P66" i="4"/>
  <c r="BK66" i="4" s="1"/>
  <c r="P62" i="4"/>
  <c r="BK62" i="4" s="1"/>
  <c r="P48" i="4"/>
  <c r="BK48" i="4" s="1"/>
  <c r="BY48" i="4"/>
  <c r="BW70" i="4"/>
  <c r="BI62" i="4"/>
  <c r="BJ62" i="4" s="1"/>
  <c r="BL62" i="4" s="1"/>
  <c r="BI48" i="4"/>
  <c r="BJ48" i="4" s="1"/>
  <c r="BP48" i="4" s="1"/>
  <c r="BU70" i="4"/>
  <c r="BV70" i="4" s="1"/>
  <c r="CD70" i="4" s="1"/>
  <c r="BY70" i="4"/>
  <c r="AW46" i="4"/>
  <c r="O46" i="4" s="1"/>
  <c r="BA46" i="4" s="1"/>
  <c r="BI46" i="4"/>
  <c r="BJ46" i="4" s="1"/>
  <c r="BP46" i="4" s="1"/>
  <c r="BU46" i="4"/>
  <c r="BV46" i="4" s="1"/>
  <c r="CD46" i="4" s="1"/>
  <c r="BX46" i="4"/>
  <c r="BW46" i="4"/>
  <c r="BY49" i="4"/>
  <c r="BU49" i="4"/>
  <c r="BV49" i="4" s="1"/>
  <c r="CD49" i="4" s="1"/>
  <c r="P53" i="4"/>
  <c r="BK53" i="4" s="1"/>
  <c r="AW49" i="4"/>
  <c r="O49" i="4" s="1"/>
  <c r="BE49" i="4" s="1"/>
  <c r="AW53" i="4"/>
  <c r="O53" i="4" s="1"/>
  <c r="BA53" i="4" s="1"/>
  <c r="BX44" i="4"/>
  <c r="P49" i="4"/>
  <c r="BK49" i="4" s="1"/>
  <c r="BE52" i="4"/>
  <c r="BG52" i="4" s="1"/>
  <c r="BH52" i="4" s="1"/>
  <c r="BA52" i="4"/>
  <c r="BW44" i="4"/>
  <c r="BY62" i="4"/>
  <c r="BX70" i="4"/>
  <c r="P44" i="4"/>
  <c r="BK44" i="4" s="1"/>
  <c r="BY44" i="4"/>
  <c r="AW64" i="4"/>
  <c r="O64" i="4" s="1"/>
  <c r="BE64" i="4" s="1"/>
  <c r="BQ52" i="4"/>
  <c r="BR52" i="4" s="1"/>
  <c r="BM52" i="4"/>
  <c r="BW65" i="4"/>
  <c r="BG103" i="4"/>
  <c r="BH103" i="4" s="1"/>
  <c r="BI44" i="4"/>
  <c r="BJ44" i="4" s="1"/>
  <c r="BP44" i="4" s="1"/>
  <c r="BW64" i="4"/>
  <c r="AW70" i="4"/>
  <c r="O70" i="4" s="1"/>
  <c r="BA70" i="4" s="1"/>
  <c r="BX64" i="4"/>
  <c r="BF60" i="4"/>
  <c r="BG60" i="4" s="1"/>
  <c r="BH60" i="4" s="1"/>
  <c r="BO60" i="4" s="1"/>
  <c r="Q60" i="4" s="1"/>
  <c r="BY65" i="4"/>
  <c r="BU65" i="4"/>
  <c r="BV65" i="4" s="1"/>
  <c r="CD65" i="4" s="1"/>
  <c r="AW65" i="4"/>
  <c r="O65" i="4" s="1"/>
  <c r="P65" i="4"/>
  <c r="BK65" i="4" s="1"/>
  <c r="BA60" i="4"/>
  <c r="BL52" i="4"/>
  <c r="AV57" i="4"/>
  <c r="BW57" i="4" s="1"/>
  <c r="BL112" i="4"/>
  <c r="BQ65" i="4"/>
  <c r="BP65" i="4"/>
  <c r="BL65" i="4"/>
  <c r="BN65" i="4" s="1"/>
  <c r="AX47" i="4"/>
  <c r="BW56" i="4"/>
  <c r="BY56" i="4"/>
  <c r="BX56" i="4"/>
  <c r="BU56" i="4"/>
  <c r="BV56" i="4" s="1"/>
  <c r="CD56" i="4" s="1"/>
  <c r="AW56" i="4"/>
  <c r="O56" i="4" s="1"/>
  <c r="P56" i="4"/>
  <c r="BK56" i="4" s="1"/>
  <c r="BI56" i="4"/>
  <c r="BJ56" i="4" s="1"/>
  <c r="BP56" i="4" s="1"/>
  <c r="BU64" i="4"/>
  <c r="BV64" i="4" s="1"/>
  <c r="CD64" i="4" s="1"/>
  <c r="P64" i="4"/>
  <c r="BK64" i="4" s="1"/>
  <c r="AV47" i="4"/>
  <c r="BW47" i="4" s="1"/>
  <c r="BM54" i="4"/>
  <c r="BN54" i="4" s="1"/>
  <c r="AX57" i="4"/>
  <c r="BY64" i="4"/>
  <c r="AW68" i="4"/>
  <c r="O68" i="4" s="1"/>
  <c r="BA68" i="4" s="1"/>
  <c r="BI68" i="4"/>
  <c r="BJ68" i="4" s="1"/>
  <c r="BQ68" i="4" s="1"/>
  <c r="BM70" i="4"/>
  <c r="BX68" i="4"/>
  <c r="BW68" i="4"/>
  <c r="BP70" i="4"/>
  <c r="BR70" i="4" s="1"/>
  <c r="BY68" i="4"/>
  <c r="AX63" i="4"/>
  <c r="BQ54" i="4"/>
  <c r="BL50" i="4"/>
  <c r="AR45" i="4"/>
  <c r="BL70" i="4"/>
  <c r="AV55" i="4"/>
  <c r="BY55" i="4" s="1"/>
  <c r="BP66" i="4"/>
  <c r="BP54" i="4"/>
  <c r="BP50" i="4"/>
  <c r="BR50" i="4" s="1"/>
  <c r="BQ66" i="4"/>
  <c r="BQ58" i="4"/>
  <c r="BM50" i="4"/>
  <c r="BF54" i="4"/>
  <c r="BA54" i="4"/>
  <c r="BE54" i="4"/>
  <c r="BA112" i="4"/>
  <c r="BE112" i="4"/>
  <c r="BF112" i="4"/>
  <c r="BA58" i="4"/>
  <c r="AV67" i="4"/>
  <c r="AX67" i="4"/>
  <c r="BR60" i="4"/>
  <c r="BI61" i="4"/>
  <c r="BJ61" i="4" s="1"/>
  <c r="BL61" i="4" s="1"/>
  <c r="BU61" i="4"/>
  <c r="BV61" i="4" s="1"/>
  <c r="CD61" i="4" s="1"/>
  <c r="P61" i="4"/>
  <c r="BK61" i="4" s="1"/>
  <c r="BX61" i="4"/>
  <c r="BW61" i="4"/>
  <c r="BY61" i="4"/>
  <c r="AW61" i="4"/>
  <c r="O61" i="4" s="1"/>
  <c r="AV59" i="4"/>
  <c r="BQ112" i="4"/>
  <c r="BR112" i="4" s="1"/>
  <c r="AX55" i="4"/>
  <c r="AV63" i="4"/>
  <c r="BM58" i="4"/>
  <c r="AT31" i="4"/>
  <c r="AQ45" i="4"/>
  <c r="AY45" i="4" s="1"/>
  <c r="BM112" i="4"/>
  <c r="BL64" i="4"/>
  <c r="BN64" i="4" s="1"/>
  <c r="AX59" i="4"/>
  <c r="BA62" i="4"/>
  <c r="BQ64" i="4"/>
  <c r="BP64" i="4"/>
  <c r="BM66" i="4"/>
  <c r="BN66" i="4" s="1"/>
  <c r="BP58" i="4"/>
  <c r="D30" i="5"/>
  <c r="D31" i="5" s="1"/>
  <c r="D32" i="5" s="1"/>
  <c r="AY37" i="4" l="1"/>
  <c r="AX39" i="4"/>
  <c r="AY39" i="4"/>
  <c r="AY42" i="4"/>
  <c r="AX40" i="4"/>
  <c r="AY40" i="4"/>
  <c r="AV35" i="4"/>
  <c r="BI35" i="4" s="1"/>
  <c r="BJ35" i="4" s="1"/>
  <c r="AY35" i="4"/>
  <c r="AX38" i="4"/>
  <c r="AY38" i="4"/>
  <c r="AY36" i="4"/>
  <c r="AV33" i="4"/>
  <c r="AW33" i="4" s="1"/>
  <c r="O33" i="4" s="1"/>
  <c r="BE33" i="4" s="1"/>
  <c r="AY33" i="4"/>
  <c r="BQ107" i="4"/>
  <c r="P75" i="4"/>
  <c r="BK75" i="4" s="1"/>
  <c r="BF58" i="4"/>
  <c r="BN84" i="4"/>
  <c r="AV39" i="4"/>
  <c r="BW39" i="4" s="1"/>
  <c r="AV36" i="4"/>
  <c r="BW36" i="4" s="1"/>
  <c r="BF107" i="4"/>
  <c r="BL107" i="4"/>
  <c r="BE83" i="4"/>
  <c r="BP107" i="4"/>
  <c r="BY75" i="4"/>
  <c r="BM104" i="4"/>
  <c r="BW87" i="4"/>
  <c r="AX33" i="4"/>
  <c r="P33" i="4"/>
  <c r="BK33" i="4" s="1"/>
  <c r="BL104" i="4"/>
  <c r="AX42" i="4"/>
  <c r="AV38" i="4"/>
  <c r="P38" i="4" s="1"/>
  <c r="BK38" i="4" s="1"/>
  <c r="BW43" i="4"/>
  <c r="AR31" i="4"/>
  <c r="BI43" i="4"/>
  <c r="BJ43" i="4" s="1"/>
  <c r="BA33" i="4"/>
  <c r="BI33" i="4"/>
  <c r="BJ33" i="4" s="1"/>
  <c r="AW43" i="4"/>
  <c r="O43" i="4" s="1"/>
  <c r="BA43" i="4" s="1"/>
  <c r="BF33" i="4"/>
  <c r="BW33" i="4"/>
  <c r="AW36" i="4"/>
  <c r="O36" i="4" s="1"/>
  <c r="BA36" i="4" s="1"/>
  <c r="P35" i="4"/>
  <c r="BK35" i="4" s="1"/>
  <c r="AV41" i="4"/>
  <c r="AS28" i="4"/>
  <c r="P36" i="4"/>
  <c r="BK36" i="4" s="1"/>
  <c r="AX41" i="4"/>
  <c r="BE42" i="4"/>
  <c r="BF42" i="4" s="1"/>
  <c r="P42" i="4"/>
  <c r="BK42" i="4" s="1"/>
  <c r="BW42" i="4"/>
  <c r="BI42" i="4"/>
  <c r="BJ42" i="4" s="1"/>
  <c r="AX34" i="4"/>
  <c r="AV34" i="4"/>
  <c r="AW34" i="4" s="1"/>
  <c r="O34" i="4" s="1"/>
  <c r="BA34" i="4" s="1"/>
  <c r="AW35" i="4"/>
  <c r="O35" i="4" s="1"/>
  <c r="AX35" i="4"/>
  <c r="BW35" i="4"/>
  <c r="AX37" i="4"/>
  <c r="AV37" i="4"/>
  <c r="AV40" i="4"/>
  <c r="E26" i="4"/>
  <c r="BN58" i="4"/>
  <c r="E25" i="4"/>
  <c r="BR103" i="4"/>
  <c r="BS103" i="4" s="1"/>
  <c r="R103" i="4" s="1"/>
  <c r="BR69" i="4"/>
  <c r="BR99" i="4"/>
  <c r="BP104" i="4"/>
  <c r="BR104" i="4" s="1"/>
  <c r="P105" i="4"/>
  <c r="BK105" i="4" s="1"/>
  <c r="BF49" i="4"/>
  <c r="BG49" i="4" s="1"/>
  <c r="BH49" i="4" s="1"/>
  <c r="BX105" i="4"/>
  <c r="O86" i="4"/>
  <c r="BE86" i="4" s="1"/>
  <c r="BY87" i="4"/>
  <c r="BX75" i="4"/>
  <c r="O75" i="4"/>
  <c r="BF75" i="4" s="1"/>
  <c r="BU87" i="4"/>
  <c r="BV87" i="4" s="1"/>
  <c r="CD87" i="4" s="1"/>
  <c r="BU75" i="4"/>
  <c r="BV75" i="4" s="1"/>
  <c r="CD75" i="4" s="1"/>
  <c r="BX86" i="4"/>
  <c r="BQ49" i="4"/>
  <c r="BE48" i="4"/>
  <c r="BY86" i="4"/>
  <c r="P86" i="4"/>
  <c r="BK86" i="4" s="1"/>
  <c r="O87" i="4"/>
  <c r="BE87" i="4" s="1"/>
  <c r="BL87" i="4"/>
  <c r="BW86" i="4"/>
  <c r="BX87" i="4"/>
  <c r="BP53" i="4"/>
  <c r="BU78" i="4"/>
  <c r="BV78" i="4" s="1"/>
  <c r="CD78" i="4" s="1"/>
  <c r="P78" i="4"/>
  <c r="BK78" i="4" s="1"/>
  <c r="BX78" i="4"/>
  <c r="BI78" i="4"/>
  <c r="BJ78" i="4" s="1"/>
  <c r="AW78" i="4"/>
  <c r="O78" i="4" s="1"/>
  <c r="BW78" i="4"/>
  <c r="BY78" i="4"/>
  <c r="BP87" i="4"/>
  <c r="BI105" i="4"/>
  <c r="BJ105" i="4" s="1"/>
  <c r="BP105" i="4" s="1"/>
  <c r="BM87" i="4"/>
  <c r="BW105" i="4"/>
  <c r="BU105" i="4"/>
  <c r="BV105" i="4" s="1"/>
  <c r="CD105" i="4" s="1"/>
  <c r="BQ87" i="4"/>
  <c r="BY105" i="4"/>
  <c r="BQ92" i="4"/>
  <c r="BE62" i="4"/>
  <c r="BG62" i="4" s="1"/>
  <c r="BH62" i="4" s="1"/>
  <c r="BM92" i="4"/>
  <c r="BN92" i="4" s="1"/>
  <c r="BE50" i="4"/>
  <c r="BQ101" i="4"/>
  <c r="BN107" i="4"/>
  <c r="BL99" i="4"/>
  <c r="BM101" i="4"/>
  <c r="BN101" i="4" s="1"/>
  <c r="BM99" i="4"/>
  <c r="BP92" i="4"/>
  <c r="BR110" i="4"/>
  <c r="BP101" i="4"/>
  <c r="BF110" i="4"/>
  <c r="BE110" i="4"/>
  <c r="BA110" i="4"/>
  <c r="BA87" i="4"/>
  <c r="BG107" i="4"/>
  <c r="BH107" i="4" s="1"/>
  <c r="BF92" i="4"/>
  <c r="BA92" i="4"/>
  <c r="BE92" i="4"/>
  <c r="BQ95" i="4"/>
  <c r="BE91" i="4"/>
  <c r="BA91" i="4"/>
  <c r="BF91" i="4"/>
  <c r="BM90" i="4"/>
  <c r="BA101" i="4"/>
  <c r="BF101" i="4"/>
  <c r="BE101" i="4"/>
  <c r="BM97" i="4"/>
  <c r="BP97" i="4"/>
  <c r="BL97" i="4"/>
  <c r="BQ97" i="4"/>
  <c r="BF77" i="4"/>
  <c r="BE77" i="4"/>
  <c r="BA77" i="4"/>
  <c r="BP71" i="4"/>
  <c r="BL71" i="4"/>
  <c r="BQ71" i="4"/>
  <c r="BM71" i="4"/>
  <c r="BF79" i="4"/>
  <c r="BE79" i="4"/>
  <c r="BA79" i="4"/>
  <c r="BA105" i="4"/>
  <c r="BE105" i="4"/>
  <c r="BF105" i="4"/>
  <c r="BA75" i="4"/>
  <c r="BA98" i="4"/>
  <c r="BE98" i="4"/>
  <c r="BF98" i="4"/>
  <c r="BP80" i="4"/>
  <c r="BM80" i="4"/>
  <c r="BL80" i="4"/>
  <c r="BQ80" i="4"/>
  <c r="BF80" i="4"/>
  <c r="BE80" i="4"/>
  <c r="BA80" i="4"/>
  <c r="BP81" i="4"/>
  <c r="BM81" i="4"/>
  <c r="BQ81" i="4"/>
  <c r="BL81" i="4"/>
  <c r="BA73" i="4"/>
  <c r="BF73" i="4"/>
  <c r="BE73" i="4"/>
  <c r="BF89" i="4"/>
  <c r="BE89" i="4"/>
  <c r="BA89" i="4"/>
  <c r="BL102" i="4"/>
  <c r="BQ102" i="4"/>
  <c r="BP102" i="4"/>
  <c r="BM102" i="4"/>
  <c r="BG83" i="4"/>
  <c r="BH83" i="4" s="1"/>
  <c r="BR83" i="4"/>
  <c r="BQ82" i="4"/>
  <c r="BL82" i="4"/>
  <c r="BM82" i="4"/>
  <c r="BP82" i="4"/>
  <c r="BQ86" i="4"/>
  <c r="BM86" i="4"/>
  <c r="BP86" i="4"/>
  <c r="BL86" i="4"/>
  <c r="BE74" i="4"/>
  <c r="BA74" i="4"/>
  <c r="BF74" i="4"/>
  <c r="BE96" i="4"/>
  <c r="BA96" i="4"/>
  <c r="BF96" i="4"/>
  <c r="BN110" i="4"/>
  <c r="BP95" i="4"/>
  <c r="BM95" i="4"/>
  <c r="BN95" i="4" s="1"/>
  <c r="BY94" i="4"/>
  <c r="P94" i="4"/>
  <c r="BK94" i="4" s="1"/>
  <c r="BW94" i="4"/>
  <c r="BU94" i="4"/>
  <c r="BV94" i="4" s="1"/>
  <c r="CD94" i="4" s="1"/>
  <c r="BI94" i="4"/>
  <c r="BJ94" i="4" s="1"/>
  <c r="BQ94" i="4" s="1"/>
  <c r="AW94" i="4"/>
  <c r="O94" i="4" s="1"/>
  <c r="BX94" i="4"/>
  <c r="BM100" i="4"/>
  <c r="BP100" i="4"/>
  <c r="BL100" i="4"/>
  <c r="BQ100" i="4"/>
  <c r="BP90" i="4"/>
  <c r="BR90" i="4" s="1"/>
  <c r="BF90" i="4"/>
  <c r="BE90" i="4"/>
  <c r="BA90" i="4"/>
  <c r="BQ88" i="4"/>
  <c r="BL88" i="4"/>
  <c r="BN88" i="4" s="1"/>
  <c r="BP88" i="4"/>
  <c r="BF104" i="4"/>
  <c r="BE104" i="4"/>
  <c r="BA104" i="4"/>
  <c r="BL75" i="4"/>
  <c r="BQ75" i="4"/>
  <c r="BP75" i="4"/>
  <c r="BM75" i="4"/>
  <c r="BQ93" i="4"/>
  <c r="BM93" i="4"/>
  <c r="BP93" i="4"/>
  <c r="BL93" i="4"/>
  <c r="BQ108" i="4"/>
  <c r="BM108" i="4"/>
  <c r="BP108" i="4"/>
  <c r="BL108" i="4"/>
  <c r="BP106" i="4"/>
  <c r="BQ106" i="4"/>
  <c r="BM106" i="4"/>
  <c r="BL106" i="4"/>
  <c r="BL76" i="4"/>
  <c r="BM76" i="4"/>
  <c r="BQ76" i="4"/>
  <c r="BP76" i="4"/>
  <c r="BA72" i="4"/>
  <c r="BF72" i="4"/>
  <c r="BE72" i="4"/>
  <c r="BE82" i="4"/>
  <c r="BA82" i="4"/>
  <c r="BF82" i="4"/>
  <c r="BW109" i="4"/>
  <c r="BY109" i="4"/>
  <c r="BI109" i="4"/>
  <c r="BJ109" i="4" s="1"/>
  <c r="BM109" i="4" s="1"/>
  <c r="BU109" i="4"/>
  <c r="BV109" i="4" s="1"/>
  <c r="CD109" i="4" s="1"/>
  <c r="AW109" i="4"/>
  <c r="O109" i="4" s="1"/>
  <c r="BX109" i="4"/>
  <c r="P109" i="4"/>
  <c r="BK109" i="4" s="1"/>
  <c r="BE99" i="4"/>
  <c r="BF99" i="4"/>
  <c r="BA99" i="4"/>
  <c r="BP85" i="4"/>
  <c r="BQ85" i="4"/>
  <c r="BL85" i="4"/>
  <c r="BM85" i="4"/>
  <c r="BF111" i="4"/>
  <c r="BE111" i="4"/>
  <c r="BA111" i="4"/>
  <c r="BP111" i="4"/>
  <c r="BM111" i="4"/>
  <c r="BQ111" i="4"/>
  <c r="BL111" i="4"/>
  <c r="BF95" i="4"/>
  <c r="BE95" i="4"/>
  <c r="BA95" i="4"/>
  <c r="BP91" i="4"/>
  <c r="BQ91" i="4"/>
  <c r="BM91" i="4"/>
  <c r="BL91" i="4"/>
  <c r="BE97" i="4"/>
  <c r="BA97" i="4"/>
  <c r="BF97" i="4"/>
  <c r="BL77" i="4"/>
  <c r="BQ77" i="4"/>
  <c r="BM77" i="4"/>
  <c r="BP77" i="4"/>
  <c r="BP79" i="4"/>
  <c r="BQ79" i="4"/>
  <c r="BM79" i="4"/>
  <c r="BL79" i="4"/>
  <c r="BE93" i="4"/>
  <c r="BA93" i="4"/>
  <c r="BF93" i="4"/>
  <c r="BE81" i="4"/>
  <c r="BA81" i="4"/>
  <c r="BF81" i="4"/>
  <c r="BP73" i="4"/>
  <c r="BQ73" i="4"/>
  <c r="BL73" i="4"/>
  <c r="BN73" i="4" s="1"/>
  <c r="BF108" i="4"/>
  <c r="BE108" i="4"/>
  <c r="BA108" i="4"/>
  <c r="BA106" i="4"/>
  <c r="BF106" i="4"/>
  <c r="BE106" i="4"/>
  <c r="BE102" i="4"/>
  <c r="BA102" i="4"/>
  <c r="BF102" i="4"/>
  <c r="BA86" i="4"/>
  <c r="BM74" i="4"/>
  <c r="BL74" i="4"/>
  <c r="BQ74" i="4"/>
  <c r="BP74" i="4"/>
  <c r="BL96" i="4"/>
  <c r="BQ96" i="4"/>
  <c r="BM96" i="4"/>
  <c r="BP96" i="4"/>
  <c r="BE85" i="4"/>
  <c r="BA85" i="4"/>
  <c r="BF85" i="4"/>
  <c r="BF100" i="4"/>
  <c r="BE100" i="4"/>
  <c r="BA100" i="4"/>
  <c r="BL90" i="4"/>
  <c r="BE88" i="4"/>
  <c r="BA88" i="4"/>
  <c r="BF88" i="4"/>
  <c r="BP98" i="4"/>
  <c r="BM98" i="4"/>
  <c r="BL98" i="4"/>
  <c r="BQ98" i="4"/>
  <c r="BG84" i="4"/>
  <c r="BH84" i="4" s="1"/>
  <c r="BP89" i="4"/>
  <c r="BM89" i="4"/>
  <c r="BL89" i="4"/>
  <c r="BQ89" i="4"/>
  <c r="BE76" i="4"/>
  <c r="BA76" i="4"/>
  <c r="BF76" i="4"/>
  <c r="BL72" i="4"/>
  <c r="BM72" i="4"/>
  <c r="BP72" i="4"/>
  <c r="BQ72" i="4"/>
  <c r="BN83" i="4"/>
  <c r="BG51" i="4"/>
  <c r="BH51" i="4" s="1"/>
  <c r="BS51" i="4" s="1"/>
  <c r="R51" i="4" s="1"/>
  <c r="BM62" i="4"/>
  <c r="BN62" i="4" s="1"/>
  <c r="BF50" i="4"/>
  <c r="BQ48" i="4"/>
  <c r="BR48" i="4" s="1"/>
  <c r="BL49" i="4"/>
  <c r="BN49" i="4" s="1"/>
  <c r="BF69" i="4"/>
  <c r="BG69" i="4" s="1"/>
  <c r="BH69" i="4" s="1"/>
  <c r="BO69" i="4" s="1"/>
  <c r="Q69" i="4" s="1"/>
  <c r="BM48" i="4"/>
  <c r="BA69" i="4"/>
  <c r="BF48" i="4"/>
  <c r="BQ53" i="4"/>
  <c r="BM53" i="4"/>
  <c r="BN53" i="4" s="1"/>
  <c r="BP49" i="4"/>
  <c r="BN51" i="4"/>
  <c r="BA49" i="4"/>
  <c r="BE44" i="4"/>
  <c r="BG44" i="4" s="1"/>
  <c r="BH44" i="4" s="1"/>
  <c r="BA44" i="4"/>
  <c r="BF66" i="4"/>
  <c r="BG66" i="4" s="1"/>
  <c r="BH66" i="4" s="1"/>
  <c r="BE46" i="4"/>
  <c r="BA66" i="4"/>
  <c r="BL48" i="4"/>
  <c r="BM44" i="4"/>
  <c r="BQ44" i="4"/>
  <c r="BR44" i="4" s="1"/>
  <c r="BL44" i="4"/>
  <c r="BQ46" i="4"/>
  <c r="BR46" i="4" s="1"/>
  <c r="BL46" i="4"/>
  <c r="BP62" i="4"/>
  <c r="BM46" i="4"/>
  <c r="BQ62" i="4"/>
  <c r="BF46" i="4"/>
  <c r="BX57" i="4"/>
  <c r="BI57" i="4"/>
  <c r="BJ57" i="4" s="1"/>
  <c r="BQ57" i="4" s="1"/>
  <c r="BA64" i="4"/>
  <c r="BF64" i="4"/>
  <c r="BG64" i="4" s="1"/>
  <c r="BH64" i="4" s="1"/>
  <c r="BO64" i="4" s="1"/>
  <c r="Q64" i="4" s="1"/>
  <c r="BI47" i="4"/>
  <c r="BJ47" i="4" s="1"/>
  <c r="BP47" i="4" s="1"/>
  <c r="BE53" i="4"/>
  <c r="P57" i="4"/>
  <c r="BK57" i="4" s="1"/>
  <c r="AW57" i="4"/>
  <c r="O57" i="4" s="1"/>
  <c r="BF57" i="4" s="1"/>
  <c r="BF53" i="4"/>
  <c r="BN52" i="4"/>
  <c r="BO52" i="4" s="1"/>
  <c r="Q52" i="4" s="1"/>
  <c r="BO103" i="4"/>
  <c r="Q103" i="4" s="1"/>
  <c r="BR54" i="4"/>
  <c r="BF70" i="4"/>
  <c r="BF68" i="4"/>
  <c r="BE70" i="4"/>
  <c r="BE68" i="4"/>
  <c r="BR65" i="4"/>
  <c r="BA65" i="4"/>
  <c r="BE65" i="4"/>
  <c r="BF65" i="4"/>
  <c r="BY47" i="4"/>
  <c r="BN50" i="4"/>
  <c r="P47" i="4"/>
  <c r="BK47" i="4" s="1"/>
  <c r="BU57" i="4"/>
  <c r="BV57" i="4" s="1"/>
  <c r="CD57" i="4" s="1"/>
  <c r="BY57" i="4"/>
  <c r="BX47" i="4"/>
  <c r="BU47" i="4"/>
  <c r="BV47" i="4" s="1"/>
  <c r="CD47" i="4" s="1"/>
  <c r="AW47" i="4"/>
  <c r="O47" i="4" s="1"/>
  <c r="BA47" i="4" s="1"/>
  <c r="BN112" i="4"/>
  <c r="BW55" i="4"/>
  <c r="BX55" i="4"/>
  <c r="BS60" i="4"/>
  <c r="R60" i="4" s="1"/>
  <c r="P55" i="4"/>
  <c r="BK55" i="4" s="1"/>
  <c r="BI55" i="4"/>
  <c r="BJ55" i="4" s="1"/>
  <c r="BQ55" i="4" s="1"/>
  <c r="BU55" i="4"/>
  <c r="BV55" i="4" s="1"/>
  <c r="CD55" i="4" s="1"/>
  <c r="BN70" i="4"/>
  <c r="AW55" i="4"/>
  <c r="O55" i="4" s="1"/>
  <c r="BE55" i="4" s="1"/>
  <c r="BL56" i="4"/>
  <c r="BM56" i="4"/>
  <c r="BA56" i="4"/>
  <c r="BE56" i="4"/>
  <c r="BF56" i="4"/>
  <c r="BQ56" i="4"/>
  <c r="BR56" i="4" s="1"/>
  <c r="BP68" i="4"/>
  <c r="BR68" i="4" s="1"/>
  <c r="BM68" i="4"/>
  <c r="BL68" i="4"/>
  <c r="BR66" i="4"/>
  <c r="BM61" i="4"/>
  <c r="BN61" i="4" s="1"/>
  <c r="BP61" i="4"/>
  <c r="BS52" i="4"/>
  <c r="R52" i="4" s="1"/>
  <c r="BA61" i="4"/>
  <c r="BE61" i="4"/>
  <c r="BF61" i="4"/>
  <c r="AV45" i="4"/>
  <c r="AQ31" i="4"/>
  <c r="AX45" i="4"/>
  <c r="BI59" i="4"/>
  <c r="BJ59" i="4" s="1"/>
  <c r="BL59" i="4" s="1"/>
  <c r="BW59" i="4"/>
  <c r="P59" i="4"/>
  <c r="BK59" i="4" s="1"/>
  <c r="BU59" i="4"/>
  <c r="BV59" i="4" s="1"/>
  <c r="CD59" i="4" s="1"/>
  <c r="BX59" i="4"/>
  <c r="AW59" i="4"/>
  <c r="O59" i="4" s="1"/>
  <c r="BY59" i="4"/>
  <c r="BY67" i="4"/>
  <c r="BI67" i="4"/>
  <c r="BJ67" i="4" s="1"/>
  <c r="BQ67" i="4" s="1"/>
  <c r="P67" i="4"/>
  <c r="BK67" i="4" s="1"/>
  <c r="AW67" i="4"/>
  <c r="O67" i="4" s="1"/>
  <c r="BX67" i="4"/>
  <c r="BW67" i="4"/>
  <c r="BU67" i="4"/>
  <c r="BV67" i="4" s="1"/>
  <c r="CD67" i="4" s="1"/>
  <c r="BG112" i="4"/>
  <c r="BH112" i="4" s="1"/>
  <c r="BQ61" i="4"/>
  <c r="BR58" i="4"/>
  <c r="BR64" i="4"/>
  <c r="O71" i="4"/>
  <c r="P71" i="4"/>
  <c r="BK71" i="4" s="1"/>
  <c r="BI63" i="4"/>
  <c r="BJ63" i="4" s="1"/>
  <c r="BP63" i="4" s="1"/>
  <c r="BX63" i="4"/>
  <c r="P63" i="4"/>
  <c r="BK63" i="4" s="1"/>
  <c r="BU63" i="4"/>
  <c r="BV63" i="4" s="1"/>
  <c r="CD63" i="4" s="1"/>
  <c r="BY63" i="4"/>
  <c r="BW63" i="4"/>
  <c r="AW63" i="4"/>
  <c r="O63" i="4" s="1"/>
  <c r="BG58" i="4"/>
  <c r="BH58" i="4" s="1"/>
  <c r="BG54" i="4"/>
  <c r="BH54" i="4" s="1"/>
  <c r="D33" i="5"/>
  <c r="D34" i="5" s="1"/>
  <c r="D35" i="5" s="1"/>
  <c r="BR107" i="4" l="1"/>
  <c r="BN104" i="4"/>
  <c r="BM105" i="4"/>
  <c r="BI36" i="4"/>
  <c r="BJ36" i="4" s="1"/>
  <c r="BI39" i="4"/>
  <c r="BJ39" i="4" s="1"/>
  <c r="AW39" i="4"/>
  <c r="O39" i="4" s="1"/>
  <c r="BA39" i="4" s="1"/>
  <c r="P39" i="4"/>
  <c r="BK39" i="4" s="1"/>
  <c r="BO58" i="4"/>
  <c r="Q58" i="4" s="1"/>
  <c r="BP33" i="4"/>
  <c r="BF87" i="4"/>
  <c r="BL33" i="4"/>
  <c r="AW38" i="4"/>
  <c r="O38" i="4" s="1"/>
  <c r="BE38" i="4" s="1"/>
  <c r="BW38" i="4"/>
  <c r="BI38" i="4"/>
  <c r="BJ38" i="4" s="1"/>
  <c r="AQ28" i="4"/>
  <c r="AV28" i="4" s="1"/>
  <c r="BQ105" i="4"/>
  <c r="BR105" i="4" s="1"/>
  <c r="BL105" i="4"/>
  <c r="BE43" i="4"/>
  <c r="BP43" i="4" s="1"/>
  <c r="BM33" i="4"/>
  <c r="BQ33" i="4"/>
  <c r="BE34" i="4"/>
  <c r="BF34" i="4" s="1"/>
  <c r="BG34" i="4" s="1"/>
  <c r="BH34" i="4" s="1"/>
  <c r="BG33" i="4"/>
  <c r="BH33" i="4" s="1"/>
  <c r="BE36" i="4"/>
  <c r="P41" i="4"/>
  <c r="BK41" i="4" s="1"/>
  <c r="AW41" i="4"/>
  <c r="O41" i="4" s="1"/>
  <c r="BW41" i="4"/>
  <c r="BM42" i="4"/>
  <c r="BW34" i="4"/>
  <c r="BI41" i="4"/>
  <c r="BJ41" i="4" s="1"/>
  <c r="BR92" i="4"/>
  <c r="BL42" i="4"/>
  <c r="BP42" i="4"/>
  <c r="AX31" i="4"/>
  <c r="P34" i="4"/>
  <c r="BK34" i="4" s="1"/>
  <c r="BI34" i="4"/>
  <c r="BJ34" i="4" s="1"/>
  <c r="BA35" i="4"/>
  <c r="BE35" i="4"/>
  <c r="BW37" i="4"/>
  <c r="AW37" i="4"/>
  <c r="O37" i="4" s="1"/>
  <c r="P37" i="4"/>
  <c r="BK37" i="4" s="1"/>
  <c r="BI37" i="4"/>
  <c r="BJ37" i="4" s="1"/>
  <c r="BW40" i="4"/>
  <c r="BI40" i="4"/>
  <c r="BJ40" i="4" s="1"/>
  <c r="AW40" i="4"/>
  <c r="O40" i="4" s="1"/>
  <c r="P40" i="4"/>
  <c r="BK40" i="4" s="1"/>
  <c r="BG42" i="4"/>
  <c r="BH42" i="4" s="1"/>
  <c r="BQ42" i="4"/>
  <c r="BR49" i="4"/>
  <c r="BS49" i="4" s="1"/>
  <c r="R49" i="4" s="1"/>
  <c r="BF86" i="4"/>
  <c r="BE75" i="4"/>
  <c r="BG75" i="4" s="1"/>
  <c r="BH75" i="4" s="1"/>
  <c r="BG48" i="4"/>
  <c r="BH48" i="4" s="1"/>
  <c r="BS48" i="4" s="1"/>
  <c r="R48" i="4" s="1"/>
  <c r="BG50" i="4"/>
  <c r="BH50" i="4" s="1"/>
  <c r="BS50" i="4" s="1"/>
  <c r="R50" i="4" s="1"/>
  <c r="BN99" i="4"/>
  <c r="BN87" i="4"/>
  <c r="BO107" i="4"/>
  <c r="Q107" i="4" s="1"/>
  <c r="BR87" i="4"/>
  <c r="BR53" i="4"/>
  <c r="BL94" i="4"/>
  <c r="BG105" i="4"/>
  <c r="BH105" i="4" s="1"/>
  <c r="BA78" i="4"/>
  <c r="BF78" i="4"/>
  <c r="BE78" i="4"/>
  <c r="BQ78" i="4"/>
  <c r="BM78" i="4"/>
  <c r="BP78" i="4"/>
  <c r="BS69" i="4"/>
  <c r="R69" i="4" s="1"/>
  <c r="BL78" i="4"/>
  <c r="BO83" i="4"/>
  <c r="Q83" i="4" s="1"/>
  <c r="BN74" i="4"/>
  <c r="BS83" i="4"/>
  <c r="R83" i="4" s="1"/>
  <c r="BR73" i="4"/>
  <c r="BN79" i="4"/>
  <c r="BG95" i="4"/>
  <c r="BH95" i="4" s="1"/>
  <c r="BO95" i="4" s="1"/>
  <c r="Q95" i="4" s="1"/>
  <c r="BL109" i="4"/>
  <c r="BN109" i="4" s="1"/>
  <c r="BN76" i="4"/>
  <c r="BR106" i="4"/>
  <c r="BS107" i="4"/>
  <c r="R107" i="4" s="1"/>
  <c r="BR101" i="4"/>
  <c r="BG74" i="4"/>
  <c r="BH74" i="4" s="1"/>
  <c r="BR86" i="4"/>
  <c r="BR81" i="4"/>
  <c r="BG87" i="4"/>
  <c r="BH87" i="4" s="1"/>
  <c r="BM57" i="4"/>
  <c r="BR108" i="4"/>
  <c r="BR93" i="4"/>
  <c r="BP94" i="4"/>
  <c r="BR94" i="4" s="1"/>
  <c r="BN86" i="4"/>
  <c r="BR82" i="4"/>
  <c r="BN81" i="4"/>
  <c r="BR71" i="4"/>
  <c r="BR97" i="4"/>
  <c r="BG92" i="4"/>
  <c r="BH92" i="4" s="1"/>
  <c r="BO92" i="4" s="1"/>
  <c r="Q92" i="4" s="1"/>
  <c r="BO51" i="4"/>
  <c r="Q51" i="4" s="1"/>
  <c r="BR89" i="4"/>
  <c r="BR77" i="4"/>
  <c r="BG97" i="4"/>
  <c r="BH97" i="4" s="1"/>
  <c r="BG111" i="4"/>
  <c r="BH111" i="4" s="1"/>
  <c r="BN89" i="4"/>
  <c r="BG89" i="4"/>
  <c r="BH89" i="4" s="1"/>
  <c r="BN97" i="4"/>
  <c r="BG101" i="4"/>
  <c r="BH101" i="4" s="1"/>
  <c r="BO101" i="4" s="1"/>
  <c r="Q101" i="4" s="1"/>
  <c r="BG76" i="4"/>
  <c r="BH76" i="4" s="1"/>
  <c r="BG93" i="4"/>
  <c r="BH93" i="4" s="1"/>
  <c r="BN77" i="4"/>
  <c r="BN100" i="4"/>
  <c r="BR74" i="4"/>
  <c r="BG106" i="4"/>
  <c r="BH106" i="4" s="1"/>
  <c r="BG108" i="4"/>
  <c r="BH108" i="4" s="1"/>
  <c r="BR79" i="4"/>
  <c r="BN85" i="4"/>
  <c r="BG99" i="4"/>
  <c r="BH99" i="4" s="1"/>
  <c r="BS99" i="4" s="1"/>
  <c r="R99" i="4" s="1"/>
  <c r="BR76" i="4"/>
  <c r="BN106" i="4"/>
  <c r="BN108" i="4"/>
  <c r="BN93" i="4"/>
  <c r="BO93" i="4" s="1"/>
  <c r="Q93" i="4" s="1"/>
  <c r="BN75" i="4"/>
  <c r="BM94" i="4"/>
  <c r="BG110" i="4"/>
  <c r="BH110" i="4" s="1"/>
  <c r="BO110" i="4" s="1"/>
  <c r="Q110" i="4" s="1"/>
  <c r="BR75" i="4"/>
  <c r="BN72" i="4"/>
  <c r="BN96" i="4"/>
  <c r="BN91" i="4"/>
  <c r="BR111" i="4"/>
  <c r="BR85" i="4"/>
  <c r="BP109" i="4"/>
  <c r="BQ109" i="4"/>
  <c r="BR88" i="4"/>
  <c r="BR102" i="4"/>
  <c r="BR80" i="4"/>
  <c r="BG98" i="4"/>
  <c r="BH98" i="4" s="1"/>
  <c r="BG79" i="4"/>
  <c r="BH79" i="4" s="1"/>
  <c r="BG91" i="4"/>
  <c r="BH91" i="4" s="1"/>
  <c r="BO84" i="4"/>
  <c r="Q84" i="4" s="1"/>
  <c r="BS84" i="4"/>
  <c r="R84" i="4" s="1"/>
  <c r="BR95" i="4"/>
  <c r="BN80" i="4"/>
  <c r="BR98" i="4"/>
  <c r="BG100" i="4"/>
  <c r="BH100" i="4" s="1"/>
  <c r="BR91" i="4"/>
  <c r="BF94" i="4"/>
  <c r="BE94" i="4"/>
  <c r="BA94" i="4"/>
  <c r="BR72" i="4"/>
  <c r="BN98" i="4"/>
  <c r="BG88" i="4"/>
  <c r="BH88" i="4" s="1"/>
  <c r="BO88" i="4" s="1"/>
  <c r="Q88" i="4" s="1"/>
  <c r="BN90" i="4"/>
  <c r="BG85" i="4"/>
  <c r="BH85" i="4" s="1"/>
  <c r="BR96" i="4"/>
  <c r="BG86" i="4"/>
  <c r="BH86" i="4" s="1"/>
  <c r="BG102" i="4"/>
  <c r="BH102" i="4" s="1"/>
  <c r="BG81" i="4"/>
  <c r="BH81" i="4" s="1"/>
  <c r="BN111" i="4"/>
  <c r="BE109" i="4"/>
  <c r="BF109" i="4"/>
  <c r="BA109" i="4"/>
  <c r="BG82" i="4"/>
  <c r="BH82" i="4" s="1"/>
  <c r="BG72" i="4"/>
  <c r="BH72" i="4" s="1"/>
  <c r="BG104" i="4"/>
  <c r="BH104" i="4" s="1"/>
  <c r="BS104" i="4" s="1"/>
  <c r="R104" i="4" s="1"/>
  <c r="BG90" i="4"/>
  <c r="BH90" i="4" s="1"/>
  <c r="BS90" i="4" s="1"/>
  <c r="R90" i="4" s="1"/>
  <c r="BR100" i="4"/>
  <c r="BG96" i="4"/>
  <c r="BH96" i="4" s="1"/>
  <c r="BN82" i="4"/>
  <c r="BN102" i="4"/>
  <c r="BG73" i="4"/>
  <c r="BH73" i="4" s="1"/>
  <c r="BG80" i="4"/>
  <c r="BH80" i="4" s="1"/>
  <c r="BN71" i="4"/>
  <c r="BG77" i="4"/>
  <c r="BH77" i="4" s="1"/>
  <c r="BN48" i="4"/>
  <c r="BO62" i="4"/>
  <c r="Q62" i="4" s="1"/>
  <c r="BL57" i="4"/>
  <c r="BO49" i="4"/>
  <c r="Q49" i="4" s="1"/>
  <c r="BA57" i="4"/>
  <c r="BN44" i="4"/>
  <c r="BO44" i="4" s="1"/>
  <c r="Q44" i="4" s="1"/>
  <c r="BN46" i="4"/>
  <c r="BG46" i="4"/>
  <c r="BH46" i="4" s="1"/>
  <c r="BS46" i="4" s="1"/>
  <c r="R46" i="4" s="1"/>
  <c r="BL47" i="4"/>
  <c r="BQ47" i="4"/>
  <c r="BR47" i="4" s="1"/>
  <c r="BM47" i="4"/>
  <c r="BS44" i="4"/>
  <c r="R44" i="4" s="1"/>
  <c r="BR62" i="4"/>
  <c r="BS62" i="4" s="1"/>
  <c r="R62" i="4" s="1"/>
  <c r="BE57" i="4"/>
  <c r="BG57" i="4" s="1"/>
  <c r="BH57" i="4" s="1"/>
  <c r="BG53" i="4"/>
  <c r="BH53" i="4" s="1"/>
  <c r="BP57" i="4"/>
  <c r="BR57" i="4" s="1"/>
  <c r="BF47" i="4"/>
  <c r="BF55" i="4"/>
  <c r="BG55" i="4" s="1"/>
  <c r="BH55" i="4" s="1"/>
  <c r="BG68" i="4"/>
  <c r="BH68" i="4" s="1"/>
  <c r="BS68" i="4" s="1"/>
  <c r="R68" i="4" s="1"/>
  <c r="BS54" i="4"/>
  <c r="R54" i="4" s="1"/>
  <c r="BG70" i="4"/>
  <c r="BH70" i="4" s="1"/>
  <c r="BO70" i="4" s="1"/>
  <c r="Q70" i="4" s="1"/>
  <c r="BA55" i="4"/>
  <c r="BG65" i="4"/>
  <c r="BH65" i="4" s="1"/>
  <c r="BE47" i="4"/>
  <c r="BA71" i="4"/>
  <c r="BF71" i="4"/>
  <c r="BE71" i="4"/>
  <c r="BQ59" i="4"/>
  <c r="BP55" i="4"/>
  <c r="BR55" i="4" s="1"/>
  <c r="BO112" i="4"/>
  <c r="Q112" i="4" s="1"/>
  <c r="BG56" i="4"/>
  <c r="BH56" i="4" s="1"/>
  <c r="BS56" i="4" s="1"/>
  <c r="R56" i="4" s="1"/>
  <c r="BL55" i="4"/>
  <c r="BM55" i="4"/>
  <c r="BR61" i="4"/>
  <c r="BP59" i="4"/>
  <c r="BN56" i="4"/>
  <c r="BN68" i="4"/>
  <c r="BS66" i="4"/>
  <c r="R66" i="4" s="1"/>
  <c r="BO66" i="4"/>
  <c r="Q66" i="4" s="1"/>
  <c r="BL67" i="4"/>
  <c r="BM67" i="4"/>
  <c r="BS58" i="4"/>
  <c r="R58" i="4" s="1"/>
  <c r="BA67" i="4"/>
  <c r="BE67" i="4"/>
  <c r="BF67" i="4"/>
  <c r="BA63" i="4"/>
  <c r="BE63" i="4"/>
  <c r="BF63" i="4"/>
  <c r="BA59" i="4"/>
  <c r="BE59" i="4"/>
  <c r="BF59" i="4"/>
  <c r="BL63" i="4"/>
  <c r="BQ63" i="4"/>
  <c r="BR63" i="4" s="1"/>
  <c r="BP67" i="4"/>
  <c r="BU45" i="4"/>
  <c r="BV45" i="4" s="1"/>
  <c r="BI45" i="4"/>
  <c r="BJ45" i="4" s="1"/>
  <c r="BL45" i="4" s="1"/>
  <c r="BY45" i="4"/>
  <c r="AW45" i="4"/>
  <c r="O45" i="4" s="1"/>
  <c r="BW45" i="4"/>
  <c r="P45" i="4"/>
  <c r="BK45" i="4" s="1"/>
  <c r="BX45" i="4"/>
  <c r="AV31" i="4"/>
  <c r="BG61" i="4"/>
  <c r="BH61" i="4" s="1"/>
  <c r="BO54" i="4"/>
  <c r="Q54" i="4" s="1"/>
  <c r="BM63" i="4"/>
  <c r="BS64" i="4"/>
  <c r="R64" i="4" s="1"/>
  <c r="BM59" i="4"/>
  <c r="BN59" i="4" s="1"/>
  <c r="BS112" i="4"/>
  <c r="R112" i="4" s="1"/>
  <c r="D38" i="5"/>
  <c r="D39" i="5" s="1"/>
  <c r="D40" i="5" s="1"/>
  <c r="D41" i="5" s="1"/>
  <c r="BN105" i="4" l="1"/>
  <c r="BO105" i="4" s="1"/>
  <c r="Q105" i="4" s="1"/>
  <c r="BP36" i="4"/>
  <c r="BE39" i="4"/>
  <c r="BP39" i="4" s="1"/>
  <c r="BR33" i="4"/>
  <c r="BS33" i="4" s="1"/>
  <c r="R33" i="4" s="1"/>
  <c r="BN33" i="4"/>
  <c r="BO33" i="4" s="1"/>
  <c r="Q33" i="4" s="1"/>
  <c r="BA38" i="4"/>
  <c r="BL38" i="4"/>
  <c r="BF38" i="4"/>
  <c r="BQ38" i="4" s="1"/>
  <c r="BF43" i="4"/>
  <c r="BQ43" i="4" s="1"/>
  <c r="BR43" i="4" s="1"/>
  <c r="BP38" i="4"/>
  <c r="BL39" i="4"/>
  <c r="BS105" i="4"/>
  <c r="R105" i="4" s="1"/>
  <c r="BM34" i="4"/>
  <c r="BL36" i="4"/>
  <c r="BL43" i="4"/>
  <c r="BF36" i="4"/>
  <c r="BM36" i="4" s="1"/>
  <c r="BN42" i="4"/>
  <c r="BO42" i="4" s="1"/>
  <c r="Q42" i="4" s="1"/>
  <c r="BR42" i="4"/>
  <c r="BS42" i="4" s="1"/>
  <c r="R42" i="4" s="1"/>
  <c r="BL34" i="4"/>
  <c r="BA41" i="4"/>
  <c r="BE41" i="4"/>
  <c r="BF41" i="4" s="1"/>
  <c r="BF35" i="4"/>
  <c r="BP35" i="4"/>
  <c r="BL35" i="4"/>
  <c r="BQ34" i="4"/>
  <c r="BP34" i="4"/>
  <c r="BA37" i="4"/>
  <c r="BE37" i="4"/>
  <c r="BP37" i="4" s="1"/>
  <c r="BA40" i="4"/>
  <c r="BE40" i="4"/>
  <c r="BN94" i="4"/>
  <c r="BS111" i="4"/>
  <c r="R111" i="4" s="1"/>
  <c r="BO50" i="4"/>
  <c r="Q50" i="4" s="1"/>
  <c r="BS53" i="4"/>
  <c r="R53" i="4" s="1"/>
  <c r="BS92" i="4"/>
  <c r="R92" i="4" s="1"/>
  <c r="BO48" i="4"/>
  <c r="Q48" i="4" s="1"/>
  <c r="BS74" i="4"/>
  <c r="R74" i="4" s="1"/>
  <c r="BO74" i="4"/>
  <c r="Q74" i="4" s="1"/>
  <c r="BN57" i="4"/>
  <c r="BO57" i="4" s="1"/>
  <c r="Q57" i="4" s="1"/>
  <c r="BS87" i="4"/>
  <c r="R87" i="4" s="1"/>
  <c r="BR78" i="4"/>
  <c r="BS95" i="4"/>
  <c r="R95" i="4" s="1"/>
  <c r="BS108" i="4"/>
  <c r="R108" i="4" s="1"/>
  <c r="BN78" i="4"/>
  <c r="BS75" i="4"/>
  <c r="R75" i="4" s="1"/>
  <c r="BO99" i="4"/>
  <c r="Q99" i="4" s="1"/>
  <c r="BS82" i="4"/>
  <c r="R82" i="4" s="1"/>
  <c r="BO111" i="4"/>
  <c r="Q111" i="4" s="1"/>
  <c r="BO76" i="4"/>
  <c r="Q76" i="4" s="1"/>
  <c r="BG78" i="4"/>
  <c r="BH78" i="4" s="1"/>
  <c r="BO100" i="4"/>
  <c r="Q100" i="4" s="1"/>
  <c r="BS106" i="4"/>
  <c r="R106" i="4" s="1"/>
  <c r="BS89" i="4"/>
  <c r="R89" i="4" s="1"/>
  <c r="BO87" i="4"/>
  <c r="Q87" i="4" s="1"/>
  <c r="BS80" i="4"/>
  <c r="R80" i="4" s="1"/>
  <c r="BO75" i="4"/>
  <c r="Q75" i="4" s="1"/>
  <c r="BS93" i="4"/>
  <c r="R93" i="4" s="1"/>
  <c r="BS76" i="4"/>
  <c r="R76" i="4" s="1"/>
  <c r="BO97" i="4"/>
  <c r="Q97" i="4" s="1"/>
  <c r="BO89" i="4"/>
  <c r="Q89" i="4" s="1"/>
  <c r="BS97" i="4"/>
  <c r="R97" i="4" s="1"/>
  <c r="BO98" i="4"/>
  <c r="Q98" i="4" s="1"/>
  <c r="BO108" i="4"/>
  <c r="Q108" i="4" s="1"/>
  <c r="BS101" i="4"/>
  <c r="R101" i="4" s="1"/>
  <c r="BO90" i="4"/>
  <c r="Q90" i="4" s="1"/>
  <c r="BS72" i="4"/>
  <c r="R72" i="4" s="1"/>
  <c r="BO80" i="4"/>
  <c r="Q80" i="4" s="1"/>
  <c r="BO106" i="4"/>
  <c r="Q106" i="4" s="1"/>
  <c r="BS110" i="4"/>
  <c r="R110" i="4" s="1"/>
  <c r="BS100" i="4"/>
  <c r="R100" i="4" s="1"/>
  <c r="BO86" i="4"/>
  <c r="Q86" i="4" s="1"/>
  <c r="BS86" i="4"/>
  <c r="R86" i="4" s="1"/>
  <c r="BO104" i="4"/>
  <c r="Q104" i="4" s="1"/>
  <c r="BS77" i="4"/>
  <c r="R77" i="4" s="1"/>
  <c r="BO77" i="4"/>
  <c r="Q77" i="4" s="1"/>
  <c r="BS73" i="4"/>
  <c r="R73" i="4" s="1"/>
  <c r="BO73" i="4"/>
  <c r="Q73" i="4" s="1"/>
  <c r="BS96" i="4"/>
  <c r="R96" i="4" s="1"/>
  <c r="BS91" i="4"/>
  <c r="R91" i="4" s="1"/>
  <c r="BS102" i="4"/>
  <c r="R102" i="4" s="1"/>
  <c r="BO91" i="4"/>
  <c r="Q91" i="4" s="1"/>
  <c r="BS81" i="4"/>
  <c r="R81" i="4" s="1"/>
  <c r="BO81" i="4"/>
  <c r="Q81" i="4" s="1"/>
  <c r="BS85" i="4"/>
  <c r="R85" i="4" s="1"/>
  <c r="BO85" i="4"/>
  <c r="Q85" i="4" s="1"/>
  <c r="BS79" i="4"/>
  <c r="R79" i="4" s="1"/>
  <c r="BO79" i="4"/>
  <c r="Q79" i="4" s="1"/>
  <c r="BR109" i="4"/>
  <c r="BO96" i="4"/>
  <c r="Q96" i="4" s="1"/>
  <c r="BO82" i="4"/>
  <c r="Q82" i="4" s="1"/>
  <c r="BG109" i="4"/>
  <c r="BH109" i="4" s="1"/>
  <c r="BO109" i="4" s="1"/>
  <c r="Q109" i="4" s="1"/>
  <c r="BO102" i="4"/>
  <c r="Q102" i="4" s="1"/>
  <c r="BG94" i="4"/>
  <c r="BH94" i="4" s="1"/>
  <c r="BS94" i="4" s="1"/>
  <c r="R94" i="4" s="1"/>
  <c r="BS98" i="4"/>
  <c r="R98" i="4" s="1"/>
  <c r="BS88" i="4"/>
  <c r="R88" i="4" s="1"/>
  <c r="BO72" i="4"/>
  <c r="Q72" i="4" s="1"/>
  <c r="BN47" i="4"/>
  <c r="BO46" i="4"/>
  <c r="Q46" i="4" s="1"/>
  <c r="BO53" i="4"/>
  <c r="Q53" i="4" s="1"/>
  <c r="BS57" i="4"/>
  <c r="R57" i="4" s="1"/>
  <c r="BO68" i="4"/>
  <c r="Q68" i="4" s="1"/>
  <c r="BG47" i="4"/>
  <c r="BH47" i="4" s="1"/>
  <c r="BS47" i="4" s="1"/>
  <c r="R47" i="4" s="1"/>
  <c r="BR59" i="4"/>
  <c r="BS70" i="4"/>
  <c r="R70" i="4" s="1"/>
  <c r="D42" i="5"/>
  <c r="D43" i="5" s="1"/>
  <c r="D46" i="5" s="1"/>
  <c r="D47" i="5" s="1"/>
  <c r="D48" i="5" s="1"/>
  <c r="D49" i="5" s="1"/>
  <c r="BG71" i="4"/>
  <c r="BH71" i="4" s="1"/>
  <c r="BS71" i="4" s="1"/>
  <c r="BO65" i="4"/>
  <c r="Q65" i="4" s="1"/>
  <c r="BS65" i="4"/>
  <c r="R65" i="4" s="1"/>
  <c r="BN67" i="4"/>
  <c r="BO56" i="4"/>
  <c r="Q56" i="4" s="1"/>
  <c r="BN55" i="4"/>
  <c r="BO55" i="4" s="1"/>
  <c r="Q55" i="4" s="1"/>
  <c r="BG59" i="4"/>
  <c r="BH59" i="4" s="1"/>
  <c r="BO59" i="4" s="1"/>
  <c r="Q59" i="4" s="1"/>
  <c r="BQ45" i="4"/>
  <c r="BG67" i="4"/>
  <c r="BH67" i="4" s="1"/>
  <c r="BA45" i="4"/>
  <c r="BF45" i="4"/>
  <c r="BE45" i="4"/>
  <c r="BM45" i="4"/>
  <c r="BN45" i="4" s="1"/>
  <c r="BP45" i="4"/>
  <c r="BN63" i="4"/>
  <c r="BO61" i="4"/>
  <c r="Q61" i="4" s="1"/>
  <c r="BS61" i="4"/>
  <c r="R61" i="4" s="1"/>
  <c r="BS55" i="4"/>
  <c r="R55" i="4" s="1"/>
  <c r="K227" i="4"/>
  <c r="K232" i="4" s="1"/>
  <c r="N220" i="4"/>
  <c r="N224" i="4" s="1"/>
  <c r="N233" i="4" s="1"/>
  <c r="I220" i="4"/>
  <c r="I224" i="4" s="1"/>
  <c r="L227" i="4"/>
  <c r="L232" i="4" s="1"/>
  <c r="F220" i="4"/>
  <c r="F227" i="4"/>
  <c r="H227" i="4"/>
  <c r="H232" i="4" s="1"/>
  <c r="G227" i="4"/>
  <c r="G232" i="4" s="1"/>
  <c r="G220" i="4"/>
  <c r="G224" i="4" s="1"/>
  <c r="K220" i="4"/>
  <c r="K224" i="4" s="1"/>
  <c r="M220" i="4"/>
  <c r="M224" i="4" s="1"/>
  <c r="J220" i="4"/>
  <c r="J224" i="4" s="1"/>
  <c r="L220" i="4"/>
  <c r="L224" i="4" s="1"/>
  <c r="AY31" i="4"/>
  <c r="J227" i="4"/>
  <c r="J232" i="4" s="1"/>
  <c r="M227" i="4"/>
  <c r="M232" i="4" s="1"/>
  <c r="H220" i="4"/>
  <c r="H224" i="4" s="1"/>
  <c r="I227" i="4"/>
  <c r="I232" i="4" s="1"/>
  <c r="CD45" i="4"/>
  <c r="BR67" i="4"/>
  <c r="BG63" i="4"/>
  <c r="BH63" i="4" s="1"/>
  <c r="BF39" i="4" l="1"/>
  <c r="BG39" i="4" s="1"/>
  <c r="BH39" i="4" s="1"/>
  <c r="BG43" i="4"/>
  <c r="BH43" i="4" s="1"/>
  <c r="BS43" i="4" s="1"/>
  <c r="R43" i="4" s="1"/>
  <c r="BM43" i="4"/>
  <c r="BN43" i="4" s="1"/>
  <c r="BM38" i="4"/>
  <c r="BN38" i="4" s="1"/>
  <c r="BR38" i="4"/>
  <c r="BG38" i="4"/>
  <c r="BH38" i="4" s="1"/>
  <c r="BU33" i="4"/>
  <c r="BV33" i="4" s="1"/>
  <c r="BQ36" i="4"/>
  <c r="BR36" i="4" s="1"/>
  <c r="BG36" i="4"/>
  <c r="BH36" i="4" s="1"/>
  <c r="BN36" i="4"/>
  <c r="BN34" i="4"/>
  <c r="BO34" i="4" s="1"/>
  <c r="Q34" i="4" s="1"/>
  <c r="BP41" i="4"/>
  <c r="BM41" i="4"/>
  <c r="BG41" i="4"/>
  <c r="BH41" i="4" s="1"/>
  <c r="BQ41" i="4"/>
  <c r="BL41" i="4"/>
  <c r="BR34" i="4"/>
  <c r="BS34" i="4" s="1"/>
  <c r="R34" i="4" s="1"/>
  <c r="BG35" i="4"/>
  <c r="BH35" i="4" s="1"/>
  <c r="BM35" i="4"/>
  <c r="BN35" i="4" s="1"/>
  <c r="BQ35" i="4"/>
  <c r="BR35" i="4" s="1"/>
  <c r="BU42" i="4"/>
  <c r="BV42" i="4" s="1"/>
  <c r="BL37" i="4"/>
  <c r="BF37" i="4"/>
  <c r="BF40" i="4"/>
  <c r="BL40" i="4"/>
  <c r="BP40" i="4"/>
  <c r="BS78" i="4"/>
  <c r="R78" i="4" s="1"/>
  <c r="BO78" i="4"/>
  <c r="Q78" i="4" s="1"/>
  <c r="BS109" i="4"/>
  <c r="R109" i="4" s="1"/>
  <c r="BO94" i="4"/>
  <c r="Q94" i="4" s="1"/>
  <c r="BO67" i="4"/>
  <c r="Q67" i="4" s="1"/>
  <c r="BO47" i="4"/>
  <c r="Q47" i="4" s="1"/>
  <c r="BO71" i="4"/>
  <c r="Q71" i="4" s="1"/>
  <c r="CA74" i="4"/>
  <c r="CC74" i="4" s="1"/>
  <c r="CA78" i="4"/>
  <c r="CC78" i="4" s="1"/>
  <c r="CA73" i="4"/>
  <c r="CC73" i="4" s="1"/>
  <c r="CA72" i="4"/>
  <c r="CC72" i="4" s="1"/>
  <c r="CA76" i="4"/>
  <c r="CC76" i="4" s="1"/>
  <c r="CA71" i="4"/>
  <c r="CC71" i="4" s="1"/>
  <c r="CA75" i="4"/>
  <c r="CC75" i="4" s="1"/>
  <c r="CA83" i="4"/>
  <c r="CC83" i="4" s="1"/>
  <c r="CA87" i="4"/>
  <c r="CC87" i="4" s="1"/>
  <c r="CA82" i="4"/>
  <c r="CC82" i="4" s="1"/>
  <c r="CA86" i="4"/>
  <c r="CC86" i="4" s="1"/>
  <c r="CA77" i="4"/>
  <c r="CC77" i="4" s="1"/>
  <c r="CA79" i="4"/>
  <c r="CC79" i="4" s="1"/>
  <c r="CA81" i="4"/>
  <c r="CC81" i="4" s="1"/>
  <c r="CA85" i="4"/>
  <c r="CC85" i="4" s="1"/>
  <c r="CA80" i="4"/>
  <c r="CC80" i="4" s="1"/>
  <c r="CA84" i="4"/>
  <c r="CC84" i="4" s="1"/>
  <c r="CA89" i="4"/>
  <c r="CC89" i="4" s="1"/>
  <c r="CA93" i="4"/>
  <c r="CC93" i="4" s="1"/>
  <c r="CA97" i="4"/>
  <c r="CC97" i="4" s="1"/>
  <c r="CA88" i="4"/>
  <c r="CC88" i="4" s="1"/>
  <c r="CA92" i="4"/>
  <c r="CC92" i="4" s="1"/>
  <c r="CA96" i="4"/>
  <c r="CC96" i="4" s="1"/>
  <c r="CA91" i="4"/>
  <c r="CC91" i="4" s="1"/>
  <c r="CA95" i="4"/>
  <c r="CC95" i="4" s="1"/>
  <c r="CA90" i="4"/>
  <c r="CC90" i="4" s="1"/>
  <c r="CA94" i="4"/>
  <c r="CC94" i="4" s="1"/>
  <c r="CA100" i="4"/>
  <c r="CC100" i="4" s="1"/>
  <c r="CA104" i="4"/>
  <c r="CC104" i="4" s="1"/>
  <c r="CA108" i="4"/>
  <c r="CC108" i="4" s="1"/>
  <c r="CA98" i="4"/>
  <c r="CC98" i="4" s="1"/>
  <c r="CA99" i="4"/>
  <c r="CC99" i="4" s="1"/>
  <c r="CA103" i="4"/>
  <c r="CC103" i="4" s="1"/>
  <c r="CA107" i="4"/>
  <c r="CC107" i="4" s="1"/>
  <c r="CA102" i="4"/>
  <c r="CC102" i="4" s="1"/>
  <c r="CA106" i="4"/>
  <c r="CC106" i="4" s="1"/>
  <c r="CA101" i="4"/>
  <c r="CC101" i="4" s="1"/>
  <c r="CA105" i="4"/>
  <c r="CC105" i="4" s="1"/>
  <c r="CA110" i="4"/>
  <c r="CC110" i="4" s="1"/>
  <c r="CA109" i="4"/>
  <c r="CC109" i="4" s="1"/>
  <c r="CA111" i="4"/>
  <c r="CC111" i="4" s="1"/>
  <c r="K233" i="4"/>
  <c r="BO63" i="4"/>
  <c r="Q63" i="4" s="1"/>
  <c r="BS67" i="4"/>
  <c r="R67" i="4" s="1"/>
  <c r="R71" i="4"/>
  <c r="BS59" i="4"/>
  <c r="R59" i="4" s="1"/>
  <c r="M233" i="4"/>
  <c r="L233" i="4"/>
  <c r="G233" i="4"/>
  <c r="I233" i="4"/>
  <c r="F232" i="4"/>
  <c r="O232" i="4" s="1"/>
  <c r="O227" i="4"/>
  <c r="H233" i="4"/>
  <c r="F224" i="4"/>
  <c r="O220" i="4"/>
  <c r="CA44" i="4"/>
  <c r="CC44" i="4" s="1"/>
  <c r="CA112" i="4"/>
  <c r="CC112" i="4" s="1"/>
  <c r="CA70" i="4"/>
  <c r="CC70" i="4" s="1"/>
  <c r="CA68" i="4"/>
  <c r="CC68" i="4" s="1"/>
  <c r="CA66" i="4"/>
  <c r="CC66" i="4" s="1"/>
  <c r="CA64" i="4"/>
  <c r="CC64" i="4" s="1"/>
  <c r="CA62" i="4"/>
  <c r="CC62" i="4" s="1"/>
  <c r="CA60" i="4"/>
  <c r="CC60" i="4" s="1"/>
  <c r="CA58" i="4"/>
  <c r="CC58" i="4" s="1"/>
  <c r="CA56" i="4"/>
  <c r="CC56" i="4" s="1"/>
  <c r="CA54" i="4"/>
  <c r="CC54" i="4" s="1"/>
  <c r="CA52" i="4"/>
  <c r="CC52" i="4" s="1"/>
  <c r="CA50" i="4"/>
  <c r="CC50" i="4" s="1"/>
  <c r="CA48" i="4"/>
  <c r="CC48" i="4" s="1"/>
  <c r="CA45" i="4"/>
  <c r="CC45" i="4" s="1"/>
  <c r="CA69" i="4"/>
  <c r="CC69" i="4" s="1"/>
  <c r="CA67" i="4"/>
  <c r="CC67" i="4" s="1"/>
  <c r="CA65" i="4"/>
  <c r="CC65" i="4" s="1"/>
  <c r="CA63" i="4"/>
  <c r="CC63" i="4" s="1"/>
  <c r="CA61" i="4"/>
  <c r="CC61" i="4" s="1"/>
  <c r="CA59" i="4"/>
  <c r="CC59" i="4" s="1"/>
  <c r="CA57" i="4"/>
  <c r="CC57" i="4" s="1"/>
  <c r="CA55" i="4"/>
  <c r="CC55" i="4" s="1"/>
  <c r="CA53" i="4"/>
  <c r="CC53" i="4" s="1"/>
  <c r="CA51" i="4"/>
  <c r="CC51" i="4" s="1"/>
  <c r="CA49" i="4"/>
  <c r="CC49" i="4" s="1"/>
  <c r="CA47" i="4"/>
  <c r="CC47" i="4" s="1"/>
  <c r="CA46" i="4"/>
  <c r="CC46" i="4" s="1"/>
  <c r="J233" i="4"/>
  <c r="BR45" i="4"/>
  <c r="BG45" i="4"/>
  <c r="BH45" i="4" s="1"/>
  <c r="BO45" i="4" s="1"/>
  <c r="Q45" i="4" s="1"/>
  <c r="BS63" i="4"/>
  <c r="R63" i="4" s="1"/>
  <c r="BQ39" i="4" l="1"/>
  <c r="BR39" i="4" s="1"/>
  <c r="BS39" i="4" s="1"/>
  <c r="R39" i="4" s="1"/>
  <c r="BM39" i="4"/>
  <c r="BN39" i="4" s="1"/>
  <c r="BO39" i="4" s="1"/>
  <c r="Q39" i="4" s="1"/>
  <c r="BO43" i="4"/>
  <c r="Q43" i="4" s="1"/>
  <c r="BU43" i="4" s="1"/>
  <c r="BV43" i="4" s="1"/>
  <c r="BO38" i="4"/>
  <c r="Q38" i="4" s="1"/>
  <c r="BS38" i="4"/>
  <c r="R38" i="4" s="1"/>
  <c r="BO36" i="4"/>
  <c r="Q36" i="4" s="1"/>
  <c r="BS36" i="4"/>
  <c r="R36" i="4" s="1"/>
  <c r="BU34" i="4"/>
  <c r="BV34" i="4" s="1"/>
  <c r="G207" i="4" s="1"/>
  <c r="G209" i="4" s="1"/>
  <c r="G244" i="4" s="1"/>
  <c r="G245" i="4" s="1"/>
  <c r="BN41" i="4"/>
  <c r="BO41" i="4" s="1"/>
  <c r="Q41" i="4" s="1"/>
  <c r="BR41" i="4"/>
  <c r="BS41" i="4" s="1"/>
  <c r="R41" i="4" s="1"/>
  <c r="BO35" i="4"/>
  <c r="Q35" i="4" s="1"/>
  <c r="BS35" i="4"/>
  <c r="R35" i="4" s="1"/>
  <c r="BG37" i="4"/>
  <c r="BH37" i="4" s="1"/>
  <c r="BM37" i="4"/>
  <c r="BN37" i="4" s="1"/>
  <c r="BQ37" i="4"/>
  <c r="BR37" i="4" s="1"/>
  <c r="BG40" i="4"/>
  <c r="BH40" i="4" s="1"/>
  <c r="BM40" i="4"/>
  <c r="BN40" i="4" s="1"/>
  <c r="BQ40" i="4"/>
  <c r="BR40" i="4" s="1"/>
  <c r="BS45" i="4"/>
  <c r="R45" i="4" s="1"/>
  <c r="O235" i="4"/>
  <c r="AY22" i="4" s="1"/>
  <c r="O224" i="4"/>
  <c r="P239" i="4" s="1"/>
  <c r="AX28" i="4" s="1"/>
  <c r="O28" i="4" s="1"/>
  <c r="F233" i="4"/>
  <c r="BU39" i="4" l="1"/>
  <c r="BV39" i="4" s="1"/>
  <c r="BU38" i="4"/>
  <c r="BV38" i="4" s="1"/>
  <c r="K207" i="4" s="1"/>
  <c r="K209" i="4" s="1"/>
  <c r="K244" i="4" s="1"/>
  <c r="K245" i="4" s="1"/>
  <c r="BU36" i="4"/>
  <c r="BV36" i="4" s="1"/>
  <c r="BU41" i="4"/>
  <c r="BV41" i="4" s="1"/>
  <c r="N207" i="4" s="1"/>
  <c r="BX41" i="4" s="1"/>
  <c r="BU35" i="4"/>
  <c r="BV35" i="4" s="1"/>
  <c r="BO37" i="4"/>
  <c r="Q37" i="4" s="1"/>
  <c r="F212" i="4"/>
  <c r="BS37" i="4"/>
  <c r="R37" i="4" s="1"/>
  <c r="BO40" i="4"/>
  <c r="Q40" i="4" s="1"/>
  <c r="BS40" i="4"/>
  <c r="R40" i="4" s="1"/>
  <c r="BC73" i="4"/>
  <c r="BC77" i="4"/>
  <c r="BC72" i="4"/>
  <c r="BC76" i="4"/>
  <c r="BC71" i="4"/>
  <c r="BC75" i="4"/>
  <c r="BC79" i="4"/>
  <c r="BC74" i="4"/>
  <c r="BC78" i="4"/>
  <c r="BC80" i="4"/>
  <c r="BC82" i="4"/>
  <c r="BC86" i="4"/>
  <c r="BC81" i="4"/>
  <c r="BC85" i="4"/>
  <c r="BC84" i="4"/>
  <c r="BC83" i="4"/>
  <c r="BC87" i="4"/>
  <c r="BC92" i="4"/>
  <c r="BC96" i="4"/>
  <c r="BC91" i="4"/>
  <c r="BC95" i="4"/>
  <c r="BC90" i="4"/>
  <c r="BC94" i="4"/>
  <c r="BC98" i="4"/>
  <c r="BC88" i="4"/>
  <c r="BC89" i="4"/>
  <c r="BC93" i="4"/>
  <c r="BC99" i="4"/>
  <c r="BC103" i="4"/>
  <c r="BC107" i="4"/>
  <c r="BC97" i="4"/>
  <c r="BC102" i="4"/>
  <c r="BC106" i="4"/>
  <c r="BC101" i="4"/>
  <c r="BC105" i="4"/>
  <c r="BC109" i="4"/>
  <c r="BC100" i="4"/>
  <c r="BC104" i="4"/>
  <c r="BC108" i="4"/>
  <c r="BC110" i="4"/>
  <c r="BC111" i="4"/>
  <c r="T111" i="4"/>
  <c r="T109" i="4"/>
  <c r="T107" i="4"/>
  <c r="T105" i="4"/>
  <c r="T103" i="4"/>
  <c r="T101" i="4"/>
  <c r="T99" i="4"/>
  <c r="T97" i="4"/>
  <c r="T95" i="4"/>
  <c r="T93" i="4"/>
  <c r="T91" i="4"/>
  <c r="T89" i="4"/>
  <c r="T87" i="4"/>
  <c r="T85" i="4"/>
  <c r="T83" i="4"/>
  <c r="T81" i="4"/>
  <c r="T79" i="4"/>
  <c r="T77" i="4"/>
  <c r="T75" i="4"/>
  <c r="T73" i="4"/>
  <c r="T110" i="4"/>
  <c r="T108" i="4"/>
  <c r="T106" i="4"/>
  <c r="T104" i="4"/>
  <c r="T102" i="4"/>
  <c r="T100" i="4"/>
  <c r="T98" i="4"/>
  <c r="T96" i="4"/>
  <c r="T94" i="4"/>
  <c r="T92" i="4"/>
  <c r="T90" i="4"/>
  <c r="T88" i="4"/>
  <c r="T86" i="4"/>
  <c r="T84" i="4"/>
  <c r="T82" i="4"/>
  <c r="T80" i="4"/>
  <c r="T78" i="4"/>
  <c r="T76" i="4"/>
  <c r="T74" i="4"/>
  <c r="T72" i="4"/>
  <c r="T53" i="4"/>
  <c r="T63" i="4"/>
  <c r="T65" i="4"/>
  <c r="BC63" i="4"/>
  <c r="BC69" i="4"/>
  <c r="T50" i="4"/>
  <c r="T61" i="4"/>
  <c r="T71" i="4"/>
  <c r="BC112" i="4"/>
  <c r="T48" i="4"/>
  <c r="BC48" i="4"/>
  <c r="BC70" i="4"/>
  <c r="BC54" i="4"/>
  <c r="T64" i="4"/>
  <c r="BC59" i="4"/>
  <c r="T70" i="4"/>
  <c r="BC68" i="4"/>
  <c r="T51" i="4"/>
  <c r="BC49" i="4"/>
  <c r="T59" i="4"/>
  <c r="T55" i="4"/>
  <c r="BC64" i="4"/>
  <c r="T66" i="4"/>
  <c r="BC56" i="4"/>
  <c r="T112" i="4"/>
  <c r="BC65" i="4"/>
  <c r="T44" i="4"/>
  <c r="T60" i="4"/>
  <c r="T52" i="4"/>
  <c r="T69" i="4"/>
  <c r="T68" i="4"/>
  <c r="BC66" i="4"/>
  <c r="BC44" i="4"/>
  <c r="T47" i="4"/>
  <c r="T46" i="4"/>
  <c r="BC46" i="4"/>
  <c r="T58" i="4"/>
  <c r="T56" i="4"/>
  <c r="BC47" i="4"/>
  <c r="T62" i="4"/>
  <c r="BC52" i="4"/>
  <c r="BC45" i="4"/>
  <c r="BC55" i="4"/>
  <c r="T54" i="4"/>
  <c r="T67" i="4"/>
  <c r="T49" i="4"/>
  <c r="BC61" i="4"/>
  <c r="BC60" i="4"/>
  <c r="BC57" i="4"/>
  <c r="T57" i="4"/>
  <c r="BC53" i="4"/>
  <c r="BC62" i="4"/>
  <c r="T45" i="4"/>
  <c r="BC67" i="4"/>
  <c r="BC51" i="4"/>
  <c r="BC58" i="4"/>
  <c r="BC50" i="4"/>
  <c r="Q235" i="4"/>
  <c r="O22" i="4"/>
  <c r="I207" i="4" l="1"/>
  <c r="I209" i="4" s="1"/>
  <c r="I244" i="4" s="1"/>
  <c r="I245" i="4" s="1"/>
  <c r="F207" i="4"/>
  <c r="F209" i="4" s="1"/>
  <c r="F244" i="4" s="1"/>
  <c r="BY42" i="4"/>
  <c r="BX43" i="4"/>
  <c r="N209" i="4"/>
  <c r="N244" i="4" s="1"/>
  <c r="N245" i="4" s="1"/>
  <c r="BX42" i="4"/>
  <c r="BY41" i="4"/>
  <c r="CD41" i="4" s="1"/>
  <c r="T41" i="4" s="1"/>
  <c r="BY43" i="4"/>
  <c r="BU37" i="4"/>
  <c r="BV37" i="4" s="1"/>
  <c r="F214" i="4"/>
  <c r="F250" i="4" s="1"/>
  <c r="H212" i="4"/>
  <c r="H214" i="4" s="1"/>
  <c r="H250" i="4" s="1"/>
  <c r="BU40" i="4"/>
  <c r="BV40" i="4" s="1"/>
  <c r="L207" i="4" l="1"/>
  <c r="L209" i="4" s="1"/>
  <c r="L244" i="4" s="1"/>
  <c r="CA38" i="4" s="1"/>
  <c r="M207" i="4"/>
  <c r="M209" i="4" s="1"/>
  <c r="M244" i="4" s="1"/>
  <c r="M245" i="4" s="1"/>
  <c r="H207" i="4"/>
  <c r="H209" i="4" s="1"/>
  <c r="H244" i="4" s="1"/>
  <c r="CA36" i="4" s="1"/>
  <c r="J207" i="4"/>
  <c r="J209" i="4" s="1"/>
  <c r="J244" i="4" s="1"/>
  <c r="J245" i="4" s="1"/>
  <c r="BX33" i="4"/>
  <c r="BY33" i="4"/>
  <c r="F245" i="4"/>
  <c r="CA34" i="4"/>
  <c r="CA42" i="4"/>
  <c r="BC42" i="4" s="1"/>
  <c r="BX34" i="4"/>
  <c r="BY34" i="4"/>
  <c r="CD43" i="4"/>
  <c r="T43" i="4" s="1"/>
  <c r="CA41" i="4"/>
  <c r="BC41" i="4" s="1"/>
  <c r="CD42" i="4"/>
  <c r="T42" i="4" s="1"/>
  <c r="CA43" i="4"/>
  <c r="CC43" i="4" s="1"/>
  <c r="BX36" i="4"/>
  <c r="BY36" i="4"/>
  <c r="CB35" i="4"/>
  <c r="F251" i="4"/>
  <c r="CB34" i="4"/>
  <c r="CB33" i="4"/>
  <c r="H251" i="4"/>
  <c r="CB37" i="4"/>
  <c r="CB36" i="4"/>
  <c r="L212" i="4"/>
  <c r="L214" i="4" s="1"/>
  <c r="L250" i="4" s="1"/>
  <c r="O250" i="4" s="1"/>
  <c r="BX37" i="4" l="1"/>
  <c r="BY37" i="4"/>
  <c r="BY35" i="4"/>
  <c r="BX35" i="4"/>
  <c r="CA35" i="4"/>
  <c r="BC35" i="4" s="1"/>
  <c r="CA33" i="4"/>
  <c r="BC33" i="4" s="1"/>
  <c r="CD33" i="4"/>
  <c r="T33" i="4" s="1"/>
  <c r="CC42" i="4"/>
  <c r="CD34" i="4"/>
  <c r="T34" i="4" s="1"/>
  <c r="BC43" i="4"/>
  <c r="CC41" i="4"/>
  <c r="CC36" i="4"/>
  <c r="H245" i="4"/>
  <c r="CA37" i="4"/>
  <c r="BC37" i="4" s="1"/>
  <c r="CD36" i="4"/>
  <c r="T36" i="4" s="1"/>
  <c r="BX38" i="4"/>
  <c r="CC34" i="4"/>
  <c r="BC34" i="4"/>
  <c r="BC36" i="4"/>
  <c r="CB39" i="4"/>
  <c r="BY39" i="4"/>
  <c r="CB40" i="4"/>
  <c r="BY38" i="4"/>
  <c r="CB38" i="4"/>
  <c r="CC38" i="4" s="1"/>
  <c r="BX40" i="4"/>
  <c r="BY40" i="4"/>
  <c r="L251" i="4"/>
  <c r="BX39" i="4"/>
  <c r="CA40" i="4"/>
  <c r="L245" i="4"/>
  <c r="CA39" i="4"/>
  <c r="O244" i="4"/>
  <c r="CD37" i="4" l="1"/>
  <c r="T37" i="4" s="1"/>
  <c r="CD35" i="4"/>
  <c r="T35" i="4" s="1"/>
  <c r="CC35" i="4"/>
  <c r="CC33" i="4"/>
  <c r="CC37" i="4"/>
  <c r="CD38" i="4"/>
  <c r="T38" i="4" s="1"/>
  <c r="CB28" i="4"/>
  <c r="BC38" i="4"/>
  <c r="BC39" i="4"/>
  <c r="BC40" i="4"/>
  <c r="CD39" i="4"/>
  <c r="T39" i="4" s="1"/>
  <c r="CD40" i="4"/>
  <c r="T40" i="4" s="1"/>
  <c r="CC40" i="4"/>
  <c r="CC39" i="4"/>
  <c r="CA28" i="4"/>
  <c r="CC28" i="4" l="1"/>
  <c r="CC24" i="4" s="1"/>
  <c r="BC31" i="4"/>
  <c r="CD28" i="4" l="1"/>
  <c r="O30" i="4" s="1"/>
  <c r="S114" i="4"/>
  <c r="T114" i="4"/>
</calcChain>
</file>

<file path=xl/comments1.xml><?xml version="1.0" encoding="utf-8"?>
<comments xmlns="http://schemas.openxmlformats.org/spreadsheetml/2006/main">
  <authors>
    <author>Bruce Lightfoot</author>
  </authors>
  <commentList>
    <comment ref="BE20" authorId="0">
      <text>
        <r>
          <rPr>
            <b/>
            <sz val="8"/>
            <color indexed="81"/>
            <rFont val="Tahoma"/>
            <family val="2"/>
          </rPr>
          <t>Bruce Lightfoot:</t>
        </r>
        <r>
          <rPr>
            <sz val="8"/>
            <color indexed="81"/>
            <rFont val="Tahoma"/>
            <family val="2"/>
          </rPr>
          <t xml:space="preserve">
Zone specific energy index for glazing in walls with DTS insulation.</t>
        </r>
      </text>
    </comment>
    <comment ref="F21" authorId="0">
      <text>
        <r>
          <rPr>
            <b/>
            <sz val="8"/>
            <color indexed="81"/>
            <rFont val="Tahoma"/>
            <family val="2"/>
          </rPr>
          <t>BCA reference:</t>
        </r>
        <r>
          <rPr>
            <sz val="8"/>
            <color indexed="81"/>
            <rFont val="Tahoma"/>
            <family val="2"/>
          </rPr>
          <t xml:space="preserve">
As required by J2.4(a), these are the areas of facades facing each orientation on the storey nominated. </t>
        </r>
        <r>
          <rPr>
            <b/>
            <sz val="8"/>
            <color indexed="81"/>
            <rFont val="Tahoma"/>
            <family val="2"/>
          </rPr>
          <t>Facade area includes the area of the glazing.</t>
        </r>
        <r>
          <rPr>
            <sz val="8"/>
            <color indexed="81"/>
            <rFont val="Tahoma"/>
            <family val="2"/>
          </rPr>
          <t xml:space="preserve">
</t>
        </r>
        <r>
          <rPr>
            <b/>
            <sz val="8"/>
            <color indexed="81"/>
            <rFont val="Tahoma"/>
            <family val="2"/>
          </rPr>
          <t>Tips:</t>
        </r>
        <r>
          <rPr>
            <sz val="8"/>
            <color indexed="81"/>
            <rFont val="Tahoma"/>
            <family val="2"/>
          </rPr>
          <t xml:space="preserve">
Facades with no glazing must not be included. 
Enter just the number of square metres. The "m²" label will be added automatically.</t>
        </r>
      </text>
    </comment>
    <comment ref="AA22" authorId="0">
      <text>
        <r>
          <rPr>
            <b/>
            <sz val="8"/>
            <color indexed="81"/>
            <rFont val="Tahoma"/>
            <family val="2"/>
          </rPr>
          <t>Bruce Lightfoot:</t>
        </r>
        <r>
          <rPr>
            <sz val="8"/>
            <color indexed="81"/>
            <rFont val="Tahoma"/>
            <family val="2"/>
          </rPr>
          <t xml:space="preserve">
Leader text suppressed unless top inputs are okay and glazing schedule is active.</t>
        </r>
      </text>
    </comment>
    <comment ref="E23" authorId="0">
      <text>
        <r>
          <rPr>
            <b/>
            <sz val="8"/>
            <color indexed="81"/>
            <rFont val="Tahoma"/>
            <family val="2"/>
          </rPr>
          <t>BCA reference:</t>
        </r>
        <r>
          <rPr>
            <sz val="8"/>
            <color indexed="81"/>
            <rFont val="Tahoma"/>
            <family val="2"/>
          </rPr>
          <t xml:space="preserve">
Facades satisfying the requirements of an (a) option in Table J1.5a can be listed here.
</t>
        </r>
        <r>
          <rPr>
            <b/>
            <sz val="8"/>
            <color indexed="81"/>
            <rFont val="Tahoma"/>
            <family val="2"/>
          </rPr>
          <t>Tip:</t>
        </r>
        <r>
          <rPr>
            <sz val="8"/>
            <color indexed="81"/>
            <rFont val="Tahoma"/>
            <family val="2"/>
          </rPr>
          <t xml:space="preserve">
This is likely to apply to most facades.</t>
        </r>
      </text>
    </comment>
    <comment ref="BE23" authorId="0">
      <text>
        <r>
          <rPr>
            <b/>
            <sz val="8"/>
            <color indexed="81"/>
            <rFont val="Tahoma"/>
            <family val="2"/>
          </rPr>
          <t>Bruce Lightfoot:</t>
        </r>
        <r>
          <rPr>
            <sz val="8"/>
            <color indexed="81"/>
            <rFont val="Tahoma"/>
            <family val="2"/>
          </rPr>
          <t xml:space="preserve">
Zone specific energy index for glazing in walls with LowR insulation.</t>
        </r>
      </text>
    </comment>
    <comment ref="E24" authorId="0">
      <text>
        <r>
          <rPr>
            <b/>
            <sz val="8"/>
            <color indexed="81"/>
            <rFont val="Tahoma"/>
            <family val="2"/>
          </rPr>
          <t>BCA reference:</t>
        </r>
        <r>
          <rPr>
            <sz val="8"/>
            <color indexed="81"/>
            <rFont val="Tahoma"/>
            <family val="2"/>
          </rPr>
          <t xml:space="preserve">
Facades with limited space for insulation, using a (b) option in Table J1.5a,  must be listed here.</t>
        </r>
      </text>
    </comment>
    <comment ref="AK24" authorId="0">
      <text>
        <r>
          <rPr>
            <b/>
            <sz val="8"/>
            <color indexed="81"/>
            <rFont val="Tahoma"/>
            <family val="2"/>
          </rPr>
          <t>Bruce Lightfoot:</t>
        </r>
        <r>
          <rPr>
            <sz val="8"/>
            <color indexed="81"/>
            <rFont val="Tahoma"/>
            <family val="2"/>
          </rPr>
          <t xml:space="preserve">
Option B stringency does not apply to internal walls</t>
        </r>
      </text>
    </comment>
    <comment ref="G28"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Y28" authorId="0">
      <text>
        <r>
          <rPr>
            <b/>
            <sz val="8"/>
            <color indexed="81"/>
            <rFont val="Tahoma"/>
            <family val="2"/>
          </rPr>
          <t>Bruce Lightfoot:</t>
        </r>
        <r>
          <rPr>
            <sz val="8"/>
            <color indexed="81"/>
            <rFont val="Tahoma"/>
            <family val="2"/>
          </rPr>
          <t xml:space="preserve">
Font size in this cell sets height of this row for calculator form.</t>
        </r>
      </text>
    </comment>
    <comment ref="AZ28" authorId="0">
      <text>
        <r>
          <rPr>
            <b/>
            <sz val="8"/>
            <color indexed="81"/>
            <rFont val="Tahoma"/>
            <family val="2"/>
          </rPr>
          <t>Bruce Lightfoot:</t>
        </r>
        <r>
          <rPr>
            <sz val="8"/>
            <color indexed="81"/>
            <rFont val="Tahoma"/>
            <family val="2"/>
          </rPr>
          <t xml:space="preserve">
This value is formula based to ensure coordination of all dependent formulae.</t>
        </r>
      </text>
    </comment>
    <comment ref="AO30" authorId="0">
      <text>
        <r>
          <rPr>
            <b/>
            <sz val="8"/>
            <color indexed="81"/>
            <rFont val="Tahoma"/>
            <family val="2"/>
          </rPr>
          <t>Bruce Lightfoot:</t>
        </r>
        <r>
          <rPr>
            <sz val="8"/>
            <color indexed="81"/>
            <rFont val="Tahoma"/>
            <family val="2"/>
          </rPr>
          <t xml:space="preserve">
Tests for errors can return TRUE only when row is 'active' (ie has a valid sector assigned).</t>
        </r>
      </text>
    </comment>
    <comment ref="AR30" authorId="0">
      <text>
        <r>
          <rPr>
            <b/>
            <sz val="8"/>
            <color indexed="81"/>
            <rFont val="Tahoma"/>
            <family val="2"/>
          </rPr>
          <t>Bruce Lightfoot:</t>
        </r>
        <r>
          <rPr>
            <sz val="8"/>
            <color indexed="81"/>
            <rFont val="Tahoma"/>
            <family val="2"/>
          </rPr>
          <t xml:space="preserve">
Tests can return TRUE only when a valid element size has been given.</t>
        </r>
      </text>
    </comment>
    <comment ref="AU30" authorId="0">
      <text>
        <r>
          <rPr>
            <b/>
            <sz val="8"/>
            <color indexed="81"/>
            <rFont val="Tahoma"/>
            <family val="2"/>
          </rPr>
          <t>Bruce Lightfoot:</t>
        </r>
        <r>
          <rPr>
            <sz val="8"/>
            <color indexed="81"/>
            <rFont val="Tahoma"/>
            <family val="2"/>
          </rPr>
          <t xml:space="preserve">
Tests can return TRUE only when a valid element size has been given.</t>
        </r>
      </text>
    </comment>
    <comment ref="B31"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number set from the drop down list.  (Ignore any other items in the list.)</t>
        </r>
      </text>
    </comment>
    <comment ref="F31" authorId="0">
      <text>
        <r>
          <rPr>
            <b/>
            <sz val="8"/>
            <color indexed="81"/>
            <rFont val="Tahoma"/>
            <family val="2"/>
          </rPr>
          <t xml:space="preserve">Tip:
</t>
        </r>
        <r>
          <rPr>
            <sz val="8"/>
            <color indexed="81"/>
            <rFont val="Tahoma"/>
            <family val="2"/>
          </rPr>
          <t>This is the orientation sector that the glazing element faces. Option A and Option B column headings are in grey font until an area is given for at least one facade using that Option.</t>
        </r>
        <r>
          <rPr>
            <b/>
            <sz val="8"/>
            <color indexed="81"/>
            <rFont val="Tahoma"/>
            <family val="2"/>
          </rPr>
          <t xml:space="preserve">
BCA reference:</t>
        </r>
        <r>
          <rPr>
            <sz val="8"/>
            <color indexed="81"/>
            <rFont val="Tahoma"/>
            <family val="2"/>
          </rPr>
          <t xml:space="preserve">
From Figure J2.3.</t>
        </r>
      </text>
    </comment>
    <comment ref="J31"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xml:space="preserve">.
Any Width or Area value NOT used will be shown in grey italics and the value in the 'Area used' column will be in </t>
        </r>
        <r>
          <rPr>
            <b/>
            <sz val="8"/>
            <color indexed="52"/>
            <rFont val="Tahoma"/>
            <family val="2"/>
          </rPr>
          <t xml:space="preserve">orange bold </t>
        </r>
        <r>
          <rPr>
            <sz val="8"/>
            <color indexed="81"/>
            <rFont val="Tahoma"/>
            <family val="2"/>
          </rPr>
          <t>font</t>
        </r>
        <r>
          <rPr>
            <sz val="8"/>
            <color indexed="81"/>
            <rFont val="Tahoma"/>
            <family val="2"/>
          </rPr>
          <t xml:space="preserve"> to show that there are conflicting inputs.</t>
        </r>
      </text>
    </comment>
    <comment ref="AP31" authorId="0">
      <text>
        <r>
          <rPr>
            <b/>
            <sz val="8"/>
            <color indexed="81"/>
            <rFont val="Tahoma"/>
            <family val="2"/>
          </rPr>
          <t>Bruce Lightfoot:</t>
        </r>
        <r>
          <rPr>
            <sz val="8"/>
            <color indexed="81"/>
            <rFont val="Tahoma"/>
            <family val="2"/>
          </rPr>
          <t xml:space="preserve">
No count since column below is for conditional formatting only.</t>
        </r>
      </text>
    </comment>
    <comment ref="AY31"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C32"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 identification.
Numbers 1 to 80 are shown by default but any identifying code can be used if preferred.</t>
        </r>
      </text>
    </comment>
    <comment ref="D32" authorId="0">
      <text>
        <r>
          <rPr>
            <b/>
            <sz val="8"/>
            <color indexed="81"/>
            <rFont val="Tahoma"/>
            <family val="2"/>
          </rPr>
          <t>Tip:</t>
        </r>
        <r>
          <rPr>
            <sz val="8"/>
            <color indexed="81"/>
            <rFont val="Tahoma"/>
            <family val="2"/>
          </rPr>
          <t xml:space="preserve">
This column can be used for descriptions such as location or window type.</t>
        </r>
      </text>
    </comment>
    <comment ref="H32"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In all cases, include the area of frames.</t>
        </r>
      </text>
    </comment>
    <comment ref="J32"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in the same facade type (Option A or Option B),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their Heights and Widths separately. </t>
        </r>
        <r>
          <rPr>
            <b/>
            <sz val="8"/>
            <color indexed="81"/>
            <rFont val="Tahoma"/>
            <family val="2"/>
          </rPr>
          <t>This is essential for non-rectangular shapes.</t>
        </r>
      </text>
    </comment>
    <comment ref="K32"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L32"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M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J2.5(b),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ignored when calculating P/H. (See Tip for H.)</t>
        </r>
      </text>
    </comment>
    <comment ref="N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No shading credit is given if this edge is 1.8m or more above the </t>
        </r>
        <r>
          <rPr>
            <b/>
            <sz val="8"/>
            <color indexed="81"/>
            <rFont val="Tahoma"/>
            <family val="2"/>
          </rPr>
          <t>head</t>
        </r>
        <r>
          <rPr>
            <sz val="8"/>
            <color indexed="81"/>
            <rFont val="Tahoma"/>
            <family val="2"/>
          </rPr>
          <t xml:space="preserve"> of the </t>
        </r>
        <r>
          <rPr>
            <sz val="8"/>
            <color indexed="81"/>
            <rFont val="Tahoma"/>
            <family val="2"/>
          </rPr>
          <t>glazing.</t>
        </r>
      </text>
    </comment>
    <comment ref="O32"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set to zero because G is 1.8m or more.
</t>
        </r>
        <r>
          <rPr>
            <b/>
            <sz val="8"/>
            <color indexed="52"/>
            <rFont val="Tahoma"/>
            <family val="2"/>
          </rPr>
          <t>Orange bold</t>
        </r>
        <r>
          <rPr>
            <sz val="8"/>
            <color indexed="81"/>
            <rFont val="Tahoma"/>
            <family val="2"/>
          </rPr>
          <t xml:space="preserve"> font indicates that:
• the nominated P/H value exceeds the limit of the exposure factor table; or
• shading is provided by a shading device (which must be in accordance with J2.5(b)); or
• the element is internal glazing. 
Maximum shading credit is given in all cases.</t>
        </r>
      </text>
    </comment>
    <comment ref="P32" authorId="0">
      <text>
        <r>
          <rPr>
            <b/>
            <sz val="8"/>
            <color indexed="81"/>
            <rFont val="Tahoma"/>
            <family val="2"/>
          </rPr>
          <t>BCA reference:</t>
        </r>
        <r>
          <rPr>
            <sz val="8"/>
            <color indexed="81"/>
            <rFont val="Tahoma"/>
            <family val="2"/>
          </rPr>
          <t xml:space="preserve">
Figure J2.4
</t>
        </r>
        <r>
          <rPr>
            <b/>
            <sz val="8"/>
            <color indexed="81"/>
            <rFont val="Tahoma"/>
            <family val="2"/>
          </rPr>
          <t>Tip:</t>
        </r>
        <r>
          <rPr>
            <sz val="8"/>
            <color indexed="81"/>
            <rFont val="Tahoma"/>
            <family val="2"/>
          </rPr>
          <t xml:space="preserve">
G is the vertical distance from the </t>
        </r>
        <r>
          <rPr>
            <b/>
            <sz val="8"/>
            <color indexed="81"/>
            <rFont val="Tahoma"/>
            <family val="2"/>
          </rPr>
          <t>head</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(This will correctly show as a negative number if the edge is </t>
        </r>
        <r>
          <rPr>
            <b/>
            <sz val="8"/>
            <color indexed="81"/>
            <rFont val="Tahoma"/>
            <family val="2"/>
          </rPr>
          <t>below</t>
        </r>
        <r>
          <rPr>
            <sz val="8"/>
            <color indexed="81"/>
            <rFont val="Tahoma"/>
            <family val="2"/>
          </rPr>
          <t xml:space="preserve"> the head of the </t>
        </r>
        <r>
          <rPr>
            <sz val="8"/>
            <color indexed="81"/>
            <rFont val="Tahoma"/>
            <family val="2"/>
          </rPr>
          <t>glazing.)</t>
        </r>
        <r>
          <rPr>
            <sz val="8"/>
            <color indexed="81"/>
            <rFont val="Tahoma"/>
            <family val="2"/>
          </rPr>
          <t xml:space="preserve">
No shading credit is given if this edge is 1.8m or more </t>
        </r>
        <r>
          <rPr>
            <b/>
            <sz val="8"/>
            <color indexed="81"/>
            <rFont val="Tahoma"/>
            <family val="2"/>
          </rPr>
          <t>above</t>
        </r>
        <r>
          <rPr>
            <sz val="8"/>
            <color indexed="81"/>
            <rFont val="Tahoma"/>
            <family val="2"/>
          </rPr>
          <t xml:space="preserve"> the head of the </t>
        </r>
        <r>
          <rPr>
            <sz val="8"/>
            <color indexed="81"/>
            <rFont val="Tahoma"/>
            <family val="2"/>
          </rPr>
          <t>glazing.</t>
        </r>
        <r>
          <rPr>
            <sz val="8"/>
            <color indexed="81"/>
            <rFont val="Tahoma"/>
            <family val="2"/>
          </rPr>
          <t xml:space="preserve"> (Such cases are shown in </t>
        </r>
        <r>
          <rPr>
            <i/>
            <sz val="8"/>
            <color indexed="10"/>
            <rFont val="Tahoma"/>
            <family val="2"/>
          </rPr>
          <t>red italics</t>
        </r>
        <r>
          <rPr>
            <sz val="8"/>
            <color indexed="81"/>
            <rFont val="Tahoma"/>
            <family val="2"/>
          </rPr>
          <t>.)</t>
        </r>
      </text>
    </comment>
    <comment ref="Q32" authorId="0">
      <text>
        <r>
          <rPr>
            <b/>
            <sz val="8"/>
            <color indexed="81"/>
            <rFont val="Tahoma"/>
            <family val="2"/>
          </rPr>
          <t>BCA reference:</t>
        </r>
        <r>
          <rPr>
            <sz val="8"/>
            <color indexed="81"/>
            <rFont val="Tahoma"/>
            <family val="2"/>
          </rPr>
          <t xml:space="preserve">
Looked up by formulae from Table J2.4c (and interpolated to allow the full shading effect of P/H values not specifically shown in the table).
Where G is 1.8 m or more, the value here is set to 1.0 and shown in </t>
        </r>
        <r>
          <rPr>
            <i/>
            <sz val="8"/>
            <color indexed="10"/>
            <rFont val="Tahoma"/>
            <family val="2"/>
          </rPr>
          <t>red italics</t>
        </r>
        <r>
          <rPr>
            <sz val="8"/>
            <color indexed="81"/>
            <rFont val="Tahoma"/>
            <family val="2"/>
          </rPr>
          <t>.</t>
        </r>
      </text>
    </comment>
    <comment ref="R32" authorId="0">
      <text>
        <r>
          <rPr>
            <b/>
            <sz val="8"/>
            <color indexed="81"/>
            <rFont val="Tahoma"/>
            <family val="2"/>
          </rPr>
          <t>BCA reference:</t>
        </r>
        <r>
          <rPr>
            <sz val="8"/>
            <color indexed="81"/>
            <rFont val="Tahoma"/>
            <family val="2"/>
          </rPr>
          <t xml:space="preserve">
Looked up by formulae from Table J2.4d (and interpolated to allow the full shading effect of P/H values not specifically shown in the table).
Where G is 1.8 m or more, the value here is set to 1.0 and shown in </t>
        </r>
        <r>
          <rPr>
            <i/>
            <sz val="8"/>
            <color indexed="10"/>
            <rFont val="Tahoma"/>
            <family val="2"/>
          </rPr>
          <t>red italics</t>
        </r>
        <r>
          <rPr>
            <sz val="8"/>
            <color indexed="81"/>
            <rFont val="Tahoma"/>
            <family val="2"/>
          </rPr>
          <t>.</t>
        </r>
      </text>
    </comment>
    <comment ref="S32"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bigger.</t>
        </r>
      </text>
    </comment>
    <comment ref="T32" authorId="0">
      <text>
        <r>
          <rPr>
            <b/>
            <sz val="8"/>
            <color indexed="81"/>
            <rFont val="Tahoma"/>
            <family val="2"/>
          </rPr>
          <t>Tip:</t>
        </r>
        <r>
          <rPr>
            <sz val="8"/>
            <color indexed="81"/>
            <rFont val="Tahoma"/>
            <family val="2"/>
          </rPr>
          <t xml:space="preserve">
'</t>
        </r>
        <r>
          <rPr>
            <b/>
            <sz val="8"/>
            <color indexed="81"/>
            <rFont val="Tahoma"/>
            <family val="2"/>
          </rPr>
          <t>Element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outcome for its facade. The figure will be 100% when there is only one </t>
        </r>
        <r>
          <rPr>
            <sz val="8"/>
            <color indexed="81"/>
            <rFont val="Tahoma"/>
            <family val="2"/>
          </rPr>
          <t>glazing</t>
        </r>
        <r>
          <rPr>
            <sz val="8"/>
            <color indexed="81"/>
            <rFont val="Tahoma"/>
            <family val="2"/>
          </rPr>
          <t xml:space="preserve"> element for that facade.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allowance consumed by </t>
        </r>
        <r>
          <rPr>
            <b/>
            <sz val="8"/>
            <color indexed="81"/>
            <rFont val="Tahoma"/>
            <family val="2"/>
          </rPr>
          <t>all glazing elements</t>
        </r>
        <r>
          <rPr>
            <sz val="8"/>
            <color indexed="81"/>
            <rFont val="Tahoma"/>
            <family val="2"/>
          </rPr>
          <t xml:space="preserve"> for the facade. This value will be greater than 100% when the aggregate outcomes for the elements exceed the allowance. </t>
        </r>
      </text>
    </comment>
    <comment ref="AA32"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D32" authorId="0">
      <text>
        <r>
          <rPr>
            <b/>
            <sz val="8"/>
            <color indexed="81"/>
            <rFont val="Tahoma"/>
            <family val="2"/>
          </rPr>
          <t>Bruce Lightfoot:</t>
        </r>
        <r>
          <rPr>
            <sz val="8"/>
            <color indexed="81"/>
            <rFont val="Tahoma"/>
            <family val="2"/>
          </rPr>
          <t xml:space="preserve">
Rows may be 'active' even if duplicate or invalid sectors appear (but not when 'n/a' is the only sector entry).</t>
        </r>
      </text>
    </comment>
    <comment ref="AE32" authorId="0">
      <text>
        <r>
          <rPr>
            <b/>
            <sz val="8"/>
            <color indexed="81"/>
            <rFont val="Tahoma"/>
            <family val="2"/>
          </rPr>
          <t>Bruce Lightfoot:</t>
        </r>
        <r>
          <rPr>
            <sz val="8"/>
            <color indexed="81"/>
            <rFont val="Tahoma"/>
            <family val="2"/>
          </rPr>
          <t xml:space="preserve">
"Data" refers only to the inputs to the right of the sector columns.</t>
        </r>
      </text>
    </comment>
    <comment ref="AI32" authorId="0">
      <text>
        <r>
          <rPr>
            <b/>
            <sz val="8"/>
            <color indexed="81"/>
            <rFont val="Tahoma"/>
            <family val="2"/>
          </rPr>
          <t>Bruce Lightfoot:</t>
        </r>
        <r>
          <rPr>
            <sz val="8"/>
            <color indexed="81"/>
            <rFont val="Tahoma"/>
            <family val="2"/>
          </rPr>
          <t xml:space="preserve">
Formulae below check for blanks in the columns listed to include in count of missing data. Conditional formatting is controlled by formulae within the cells themselves.</t>
        </r>
      </text>
    </comment>
    <comment ref="AP32" authorId="0">
      <text>
        <r>
          <rPr>
            <b/>
            <sz val="8"/>
            <color indexed="81"/>
            <rFont val="Tahoma"/>
            <family val="2"/>
          </rPr>
          <t>Bruce Lightfoot:</t>
        </r>
        <r>
          <rPr>
            <sz val="8"/>
            <color indexed="81"/>
            <rFont val="Tahoma"/>
            <family val="2"/>
          </rPr>
          <t xml:space="preserve">
Can evaluate to TRUE only when a width figure has been given.</t>
        </r>
      </text>
    </comment>
    <comment ref="AW32" authorId="0">
      <text>
        <r>
          <rPr>
            <b/>
            <sz val="8"/>
            <color indexed="81"/>
            <rFont val="Tahoma"/>
            <family val="2"/>
          </rPr>
          <t>Bruce Lightfoot:</t>
        </r>
        <r>
          <rPr>
            <sz val="8"/>
            <color indexed="81"/>
            <rFont val="Tahoma"/>
            <family val="2"/>
          </rPr>
          <t xml:space="preserve">
Also applies to internal glazing where South orientation with P/H=2 is assumed.</t>
        </r>
      </text>
    </comment>
    <comment ref="AY32"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Z32" authorId="0">
      <text>
        <r>
          <rPr>
            <b/>
            <sz val="8"/>
            <color indexed="81"/>
            <rFont val="Tahoma"/>
            <family val="2"/>
          </rPr>
          <t>Bruce Lightfoot:</t>
        </r>
        <r>
          <rPr>
            <sz val="8"/>
            <color indexed="81"/>
            <rFont val="Tahoma"/>
            <family val="2"/>
          </rPr>
          <t xml:space="preserve">
Test can return TRUE only when a glazing height (h) has been given.</t>
        </r>
      </text>
    </comment>
    <comment ref="BI32" authorId="0">
      <text>
        <r>
          <rPr>
            <b/>
            <sz val="8"/>
            <color indexed="81"/>
            <rFont val="Tahoma"/>
            <family val="2"/>
          </rPr>
          <t>Bruce Lightfoot:</t>
        </r>
        <r>
          <rPr>
            <sz val="8"/>
            <color indexed="81"/>
            <rFont val="Tahoma"/>
            <family val="2"/>
          </rPr>
          <t xml:space="preserve">
Sector displayed in the glazing schedule on the Calculator form. May include "internal".</t>
        </r>
      </text>
    </comment>
    <comment ref="BJ32" authorId="0">
      <text>
        <r>
          <rPr>
            <b/>
            <sz val="8"/>
            <color indexed="81"/>
            <rFont val="Tahoma"/>
            <family val="2"/>
          </rPr>
          <t>Bruce Lightfoot:</t>
        </r>
        <r>
          <rPr>
            <sz val="8"/>
            <color indexed="81"/>
            <rFont val="Tahoma"/>
            <family val="2"/>
          </rPr>
          <t xml:space="preserve">
Sector used for lookup of shading multipliers. "internal" is always converted to "S".</t>
        </r>
      </text>
    </comment>
    <comment ref="BK32" authorId="0">
      <text>
        <r>
          <rPr>
            <b/>
            <sz val="8"/>
            <color indexed="81"/>
            <rFont val="Tahoma"/>
            <family val="2"/>
          </rPr>
          <t>Bruce Lightfoot:</t>
        </r>
        <r>
          <rPr>
            <sz val="8"/>
            <color indexed="81"/>
            <rFont val="Tahoma"/>
            <family val="2"/>
          </rPr>
          <t xml:space="preserve">
This column controls the rows looked up in the Shading Multipliers tables, taking account of G (to simplify formulae in the interpolation columns). Values of G in column O are rounded to 3 decimal places to match "manual" lookups.
Values are set to 0 (and highlighted by red fill) when G exceeds the limit. Exceeding the limit also causes P/H to be set to zero, making this cell irrelevant to shading factors lookups to the right.</t>
        </r>
      </text>
    </comment>
    <comment ref="BV32" authorId="0">
      <text>
        <r>
          <rPr>
            <b/>
            <sz val="8"/>
            <color indexed="81"/>
            <rFont val="Tahoma"/>
            <family val="2"/>
          </rPr>
          <t>Bruce Lightfoot:</t>
        </r>
        <r>
          <rPr>
            <sz val="8"/>
            <color indexed="81"/>
            <rFont val="Tahoma"/>
            <family val="2"/>
          </rPr>
          <t xml:space="preserve">
These are the values used by the Calculator form. Elements calculated to have negative energy use are reset to zero here and highlighted in colour.</t>
        </r>
      </text>
    </comment>
    <comment ref="BX32" authorId="0">
      <text>
        <r>
          <rPr>
            <b/>
            <sz val="8"/>
            <color indexed="81"/>
            <rFont val="Tahoma"/>
            <family val="2"/>
          </rPr>
          <t>Bruce Lightfoot:</t>
        </r>
        <r>
          <rPr>
            <sz val="8"/>
            <color indexed="81"/>
            <rFont val="Tahoma"/>
            <family val="2"/>
          </rPr>
          <t xml:space="preserve">
Formulae results are rounded up to nearest 1% to avoid error message appearing to show 100% of target when result is marginally over 100%. (Comparison of outcomes against allowances is not affected by this rounding.)</t>
        </r>
      </text>
    </comment>
    <comment ref="CA32" authorId="0">
      <text>
        <r>
          <rPr>
            <b/>
            <sz val="8"/>
            <color indexed="81"/>
            <rFont val="Tahoma"/>
            <family val="2"/>
          </rPr>
          <t>Bruce Lightfoot:</t>
        </r>
        <r>
          <rPr>
            <sz val="8"/>
            <color indexed="81"/>
            <rFont val="Tahoma"/>
            <family val="2"/>
          </rPr>
          <t xml:space="preserve">
Non-complying facades are identified by 1. These values are used (with LocalErrors) for conditional formatting of form.</t>
        </r>
      </text>
    </comment>
    <comment ref="BC33"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J144" authorId="0">
      <text>
        <r>
          <rPr>
            <b/>
            <sz val="8"/>
            <color indexed="81"/>
            <rFont val="Tahoma"/>
            <family val="2"/>
          </rPr>
          <t>Bruce Lightfoot:</t>
        </r>
        <r>
          <rPr>
            <sz val="8"/>
            <color indexed="81"/>
            <rFont val="Tahoma"/>
            <family val="2"/>
          </rPr>
          <t xml:space="preserve">
Cell fill colours below indicate the colours applied to affected cells by conditional formatting when status is TRUE.</t>
        </r>
      </text>
    </comment>
    <comment ref="E150" authorId="0">
      <text>
        <r>
          <rPr>
            <b/>
            <sz val="8"/>
            <color indexed="81"/>
            <rFont val="Tahoma"/>
            <family val="2"/>
          </rPr>
          <t>Bruce Lightfoot:</t>
        </r>
        <r>
          <rPr>
            <sz val="8"/>
            <color indexed="81"/>
            <rFont val="Tahoma"/>
            <family val="2"/>
          </rPr>
          <t xml:space="preserve">
'Active' means at least one glazing element has a sector assigned.</t>
        </r>
      </text>
    </comment>
    <comment ref="E154" authorId="0">
      <text>
        <r>
          <rPr>
            <b/>
            <sz val="8"/>
            <color indexed="81"/>
            <rFont val="Tahoma"/>
            <family val="2"/>
          </rPr>
          <t>Bruce Lightfoot:</t>
        </r>
        <r>
          <rPr>
            <sz val="8"/>
            <color indexed="81"/>
            <rFont val="Tahoma"/>
            <family val="2"/>
          </rPr>
          <t xml:space="preserve">
Formula requires that no glazing elements have been defined in the table</t>
        </r>
      </text>
    </comment>
    <comment ref="E162" authorId="0">
      <text>
        <r>
          <rPr>
            <b/>
            <sz val="8"/>
            <color indexed="81"/>
            <rFont val="Tahoma"/>
            <family val="2"/>
          </rPr>
          <t>Bruce Lightfoot:</t>
        </r>
        <r>
          <rPr>
            <sz val="8"/>
            <color indexed="81"/>
            <rFont val="Tahoma"/>
            <family val="2"/>
          </rPr>
          <t xml:space="preserve">
Formula requires that no glazing elements have been defined in the table</t>
        </r>
      </text>
    </comment>
    <comment ref="E177" authorId="0">
      <text>
        <r>
          <rPr>
            <b/>
            <sz val="8"/>
            <color indexed="81"/>
            <rFont val="Tahoma"/>
            <family val="2"/>
          </rPr>
          <t>Bruce Lightfoot:</t>
        </r>
        <r>
          <rPr>
            <sz val="8"/>
            <color indexed="81"/>
            <rFont val="Tahoma"/>
            <family val="2"/>
          </rPr>
          <t xml:space="preserve">
Order of orientations in valid data list (when they are active).</t>
        </r>
      </text>
    </comment>
    <comment ref="N177" authorId="0">
      <text>
        <r>
          <rPr>
            <b/>
            <sz val="8"/>
            <color indexed="81"/>
            <rFont val="Tahoma"/>
            <family val="2"/>
          </rPr>
          <t>Bruce Lightfoot:</t>
        </r>
        <r>
          <rPr>
            <sz val="8"/>
            <color indexed="81"/>
            <rFont val="Tahoma"/>
            <family val="2"/>
          </rPr>
          <t xml:space="preserve">
Additional column for </t>
        </r>
        <r>
          <rPr>
            <i/>
            <sz val="8"/>
            <color indexed="81"/>
            <rFont val="Tahoma"/>
            <family val="2"/>
          </rPr>
          <t>glazing</t>
        </r>
        <r>
          <rPr>
            <sz val="8"/>
            <color indexed="81"/>
            <rFont val="Tahoma"/>
            <family val="2"/>
          </rPr>
          <t xml:space="preserve"> in an internal envelope wall</t>
        </r>
      </text>
    </comment>
    <comment ref="E178" authorId="0">
      <text>
        <r>
          <rPr>
            <b/>
            <sz val="8"/>
            <color indexed="81"/>
            <rFont val="Tahoma"/>
            <family val="2"/>
          </rPr>
          <t>Bruce Lightfoot:</t>
        </r>
        <r>
          <rPr>
            <sz val="8"/>
            <color indexed="81"/>
            <rFont val="Tahoma"/>
            <family val="2"/>
          </rPr>
          <t xml:space="preserve">
List order numbers above are assigned here when façade area is greater than zero.</t>
        </r>
      </text>
    </comment>
    <comment ref="E184" authorId="0">
      <text>
        <r>
          <rPr>
            <b/>
            <sz val="8"/>
            <color indexed="81"/>
            <rFont val="Tahoma"/>
            <family val="2"/>
          </rPr>
          <t>Bruce Lightfoot:</t>
        </r>
        <r>
          <rPr>
            <sz val="8"/>
            <color indexed="81"/>
            <rFont val="Tahoma"/>
            <family val="2"/>
          </rPr>
          <t xml:space="preserve">
Order of orientations in valid data list (when they are active).</t>
        </r>
      </text>
    </comment>
    <comment ref="E185" authorId="0">
      <text>
        <r>
          <rPr>
            <b/>
            <sz val="8"/>
            <color indexed="81"/>
            <rFont val="Tahoma"/>
            <family val="2"/>
          </rPr>
          <t>Bruce Lightfoot:</t>
        </r>
        <r>
          <rPr>
            <sz val="8"/>
            <color indexed="81"/>
            <rFont val="Tahoma"/>
            <family val="2"/>
          </rPr>
          <t xml:space="preserve">
List order numbers above are assigned here when façade area is greater than zero.</t>
        </r>
      </text>
    </comment>
  </commentList>
</comments>
</file>

<file path=xl/comments2.xml><?xml version="1.0" encoding="utf-8"?>
<comments xmlns="http://schemas.openxmlformats.org/spreadsheetml/2006/main">
  <authors>
    <author>Bruce Lightfoot</author>
  </authors>
  <commentList>
    <comment ref="C9" authorId="0">
      <text>
        <r>
          <rPr>
            <b/>
            <sz val="8"/>
            <color indexed="81"/>
            <rFont val="Tahoma"/>
            <family val="2"/>
          </rPr>
          <t>Bruce Lightfoot:</t>
        </r>
        <r>
          <rPr>
            <sz val="8"/>
            <color indexed="81"/>
            <rFont val="Tahoma"/>
            <family val="2"/>
          </rPr>
          <t xml:space="preserve">
Used as precedents for lookup function delivering Energy Index values to Table J2.4a below.</t>
        </r>
      </text>
    </comment>
    <comment ref="B11" authorId="0">
      <text>
        <r>
          <rPr>
            <b/>
            <sz val="8"/>
            <color indexed="81"/>
            <rFont val="Tahoma"/>
            <family val="2"/>
          </rPr>
          <t>Bruce Lightfoot:</t>
        </r>
        <r>
          <rPr>
            <sz val="8"/>
            <color indexed="81"/>
            <rFont val="Tahoma"/>
            <family val="2"/>
          </rPr>
          <t xml:space="preserve">
</t>
        </r>
        <r>
          <rPr>
            <i/>
            <sz val="8"/>
            <color indexed="81"/>
            <rFont val="Tahoma"/>
            <family val="2"/>
          </rPr>
          <t>a/c</t>
        </r>
        <r>
          <rPr>
            <sz val="8"/>
            <color indexed="81"/>
            <rFont val="Tahoma"/>
            <family val="2"/>
          </rPr>
          <t xml:space="preserve"> is an abbreviation of </t>
        </r>
        <r>
          <rPr>
            <i/>
            <sz val="8"/>
            <color indexed="81"/>
            <rFont val="Tahoma"/>
            <family val="2"/>
          </rPr>
          <t>aged care</t>
        </r>
        <r>
          <rPr>
            <sz val="8"/>
            <color indexed="81"/>
            <rFont val="Tahoma"/>
            <family val="2"/>
          </rPr>
          <t xml:space="preserve"> and in italics since the latter is a defined term.</t>
        </r>
      </text>
    </comment>
    <comment ref="A26" authorId="0">
      <text>
        <r>
          <rPr>
            <b/>
            <sz val="8"/>
            <color indexed="81"/>
            <rFont val="Tahoma"/>
            <family val="2"/>
          </rPr>
          <t>Bruce Lightfoot:</t>
        </r>
        <r>
          <rPr>
            <sz val="8"/>
            <color indexed="81"/>
            <rFont val="Tahoma"/>
            <family val="2"/>
          </rPr>
          <t xml:space="preserve">
Font height enlarged in this column to control height of table rows.</t>
        </r>
      </text>
    </comment>
    <comment ref="BS93" authorId="0">
      <text>
        <r>
          <rPr>
            <b/>
            <sz val="9"/>
            <color indexed="81"/>
            <rFont val="Tahoma"/>
            <family val="2"/>
          </rPr>
          <t xml:space="preserve">Corrected for BCA 2012:
</t>
        </r>
        <r>
          <rPr>
            <sz val="9"/>
            <color indexed="81"/>
            <rFont val="Tahoma"/>
            <family val="2"/>
          </rPr>
          <t>Changed from 0.75 to 0.50 to match correction in print version.</t>
        </r>
      </text>
    </comment>
    <comment ref="C173" authorId="0">
      <text>
        <r>
          <rPr>
            <b/>
            <sz val="8"/>
            <color indexed="81"/>
            <rFont val="Tahoma"/>
            <family val="2"/>
          </rPr>
          <t>Bruce Lightfoot:</t>
        </r>
        <r>
          <rPr>
            <sz val="8"/>
            <color indexed="81"/>
            <rFont val="Tahoma"/>
            <family val="2"/>
          </rPr>
          <t xml:space="preserve">
This value is needed because the BCA text refers to "less than 1800 mm". The value used here changes the value in named range Glimit on the Calculator sheet.</t>
        </r>
      </text>
    </comment>
  </commentList>
</comments>
</file>

<file path=xl/sharedStrings.xml><?xml version="1.0" encoding="utf-8"?>
<sst xmlns="http://schemas.openxmlformats.org/spreadsheetml/2006/main" count="687" uniqueCount="412">
  <si>
    <t>Note:</t>
  </si>
  <si>
    <t>NE</t>
  </si>
  <si>
    <t>SE</t>
  </si>
  <si>
    <t>P/H</t>
  </si>
  <si>
    <t>ID</t>
  </si>
  <si>
    <t xml:space="preserve"> P/H
</t>
  </si>
  <si>
    <r>
      <t xml:space="preserve">P/H </t>
    </r>
    <r>
      <rPr>
        <sz val="8"/>
        <rFont val="Arial"/>
        <family val="2"/>
      </rPr>
      <t>above</t>
    </r>
  </si>
  <si>
    <r>
      <t xml:space="preserve">P/H </t>
    </r>
    <r>
      <rPr>
        <sz val="8"/>
        <rFont val="Arial"/>
        <family val="2"/>
      </rPr>
      <t>below</t>
    </r>
  </si>
  <si>
    <r>
      <t xml:space="preserve">P/H </t>
    </r>
    <r>
      <rPr>
        <sz val="8"/>
        <rFont val="Arial"/>
        <family val="2"/>
      </rPr>
      <t>interval</t>
    </r>
  </si>
  <si>
    <r>
      <t>%</t>
    </r>
    <r>
      <rPr>
        <sz val="8"/>
        <rFont val="Arial"/>
        <family val="2"/>
      </rPr>
      <t xml:space="preserve"> interval</t>
    </r>
  </si>
  <si>
    <r>
      <t xml:space="preserve">P
</t>
    </r>
    <r>
      <rPr>
        <sz val="8"/>
        <rFont val="Arial"/>
        <family val="2"/>
      </rPr>
      <t>(m)</t>
    </r>
  </si>
  <si>
    <r>
      <t xml:space="preserve">H
</t>
    </r>
    <r>
      <rPr>
        <sz val="8"/>
        <rFont val="Arial"/>
        <family val="2"/>
      </rPr>
      <t>(m)</t>
    </r>
  </si>
  <si>
    <t>Table J2.4a</t>
  </si>
  <si>
    <t>ENERGY INDEX</t>
  </si>
  <si>
    <t>Climate zone</t>
  </si>
  <si>
    <t>Table J2.4b</t>
  </si>
  <si>
    <t>North</t>
  </si>
  <si>
    <t>East</t>
  </si>
  <si>
    <t xml:space="preserve">South </t>
  </si>
  <si>
    <t>South west</t>
  </si>
  <si>
    <t>West</t>
  </si>
  <si>
    <r>
      <t>C</t>
    </r>
    <r>
      <rPr>
        <b/>
        <vertAlign val="subscript"/>
        <sz val="10"/>
        <rFont val="Arial"/>
        <family val="2"/>
      </rPr>
      <t>A</t>
    </r>
  </si>
  <si>
    <r>
      <t>C</t>
    </r>
    <r>
      <rPr>
        <b/>
        <vertAlign val="subscript"/>
        <sz val="10"/>
        <rFont val="Arial"/>
        <family val="2"/>
      </rPr>
      <t>B</t>
    </r>
  </si>
  <si>
    <r>
      <t>C</t>
    </r>
    <r>
      <rPr>
        <b/>
        <vertAlign val="subscript"/>
        <sz val="10"/>
        <rFont val="Arial"/>
        <family val="2"/>
      </rPr>
      <t>C</t>
    </r>
  </si>
  <si>
    <t>North east</t>
  </si>
  <si>
    <t>South east</t>
  </si>
  <si>
    <t>North west</t>
  </si>
  <si>
    <t>CLIMATE ZONE 8</t>
  </si>
  <si>
    <r>
      <t xml:space="preserve">Orientation Sector </t>
    </r>
    <r>
      <rPr>
        <sz val="8"/>
        <rFont val="Arial"/>
        <family val="2"/>
      </rPr>
      <t>(refer to Figure J2.3)</t>
    </r>
  </si>
  <si>
    <t>Glazing to projection distance G</t>
  </si>
  <si>
    <t>(refer to Figure J2.4)</t>
  </si>
  <si>
    <t>No more than 100 mm</t>
  </si>
  <si>
    <t>More than 100 mm but no more than 500 mm</t>
  </si>
  <si>
    <t>More than 500 mm but no more than 1200 mm</t>
  </si>
  <si>
    <r>
      <t>Table J2.4c  HEATING SHADING MULTIPLIER (S</t>
    </r>
    <r>
      <rPr>
        <b/>
        <vertAlign val="subscript"/>
        <sz val="10"/>
        <rFont val="Arial"/>
        <family val="2"/>
      </rPr>
      <t>H</t>
    </r>
    <r>
      <rPr>
        <b/>
        <sz val="10"/>
        <rFont val="Arial"/>
        <family val="2"/>
      </rPr>
      <t>)</t>
    </r>
  </si>
  <si>
    <r>
      <t>Energy constants C</t>
    </r>
    <r>
      <rPr>
        <b/>
        <vertAlign val="subscript"/>
        <sz val="8"/>
        <rFont val="Arial"/>
        <family val="2"/>
      </rPr>
      <t>A</t>
    </r>
    <r>
      <rPr>
        <b/>
        <sz val="8"/>
        <rFont val="Arial"/>
        <family val="2"/>
      </rPr>
      <t>, C</t>
    </r>
    <r>
      <rPr>
        <b/>
        <vertAlign val="subscript"/>
        <sz val="8"/>
        <rFont val="Arial"/>
        <family val="2"/>
      </rPr>
      <t>B</t>
    </r>
    <r>
      <rPr>
        <b/>
        <sz val="8"/>
        <rFont val="Arial"/>
        <family val="2"/>
      </rPr>
      <t>, and C</t>
    </r>
    <r>
      <rPr>
        <b/>
        <vertAlign val="subscript"/>
        <sz val="8"/>
        <rFont val="Arial"/>
        <family val="2"/>
      </rPr>
      <t>C</t>
    </r>
  </si>
  <si>
    <r>
      <t>ENERGY CONSTANTS (C</t>
    </r>
    <r>
      <rPr>
        <b/>
        <vertAlign val="subscript"/>
        <sz val="10"/>
        <rFont val="Arial"/>
        <family val="2"/>
      </rPr>
      <t>A</t>
    </r>
    <r>
      <rPr>
        <b/>
        <sz val="10"/>
        <rFont val="Arial"/>
        <family val="2"/>
      </rPr>
      <t xml:space="preserve"> , C</t>
    </r>
    <r>
      <rPr>
        <b/>
        <vertAlign val="subscript"/>
        <sz val="10"/>
        <rFont val="Arial"/>
        <family val="2"/>
      </rPr>
      <t>B</t>
    </r>
    <r>
      <rPr>
        <b/>
        <sz val="10"/>
        <rFont val="Arial"/>
        <family val="2"/>
      </rPr>
      <t xml:space="preserve"> , and C</t>
    </r>
    <r>
      <rPr>
        <b/>
        <vertAlign val="subscript"/>
        <sz val="10"/>
        <rFont val="Arial"/>
        <family val="2"/>
      </rPr>
      <t>C</t>
    </r>
    <r>
      <rPr>
        <b/>
        <sz val="10"/>
        <rFont val="Arial"/>
        <family val="2"/>
      </rPr>
      <t>)</t>
    </r>
  </si>
  <si>
    <t>CLIMATE ZONE 4</t>
  </si>
  <si>
    <t xml:space="preserve">CLIMATE ZONE 5 </t>
  </si>
  <si>
    <t xml:space="preserve">Same as zone 4 </t>
  </si>
  <si>
    <t>CLIMATE ZONE 6</t>
  </si>
  <si>
    <t xml:space="preserve">CLIMATE ZONE 7 </t>
  </si>
  <si>
    <t>Same as zone 6</t>
  </si>
  <si>
    <t>CLIMATE ZONE 1</t>
  </si>
  <si>
    <t>No table in draft</t>
  </si>
  <si>
    <t>CLIMATE ZONE 2</t>
  </si>
  <si>
    <t>CLIMATE ZONE 3</t>
  </si>
  <si>
    <r>
      <t>Table J2.4d  COOLING SHADING MULTIPLIER (S</t>
    </r>
    <r>
      <rPr>
        <b/>
        <vertAlign val="subscript"/>
        <sz val="10"/>
        <rFont val="Arial"/>
        <family val="2"/>
      </rPr>
      <t>C</t>
    </r>
    <r>
      <rPr>
        <b/>
        <sz val="10"/>
        <rFont val="Arial"/>
        <family val="2"/>
      </rPr>
      <t>)</t>
    </r>
  </si>
  <si>
    <t>Same as zone 1</t>
  </si>
  <si>
    <t>CLIMATE ZONE 5</t>
  </si>
  <si>
    <t>Same as zone 4</t>
  </si>
  <si>
    <t>CLIMATE ZONE 7</t>
  </si>
  <si>
    <t>Blue fill indicates named ranges. (Different blues are used to distinguish nearly adjacent named ranges.) Some named ranges have multiple parts.</t>
  </si>
  <si>
    <t>SW</t>
  </si>
  <si>
    <t>W</t>
  </si>
  <si>
    <t>N</t>
  </si>
  <si>
    <t>E</t>
  </si>
  <si>
    <t>S</t>
  </si>
  <si>
    <t>NW</t>
  </si>
  <si>
    <t>SHADING</t>
  </si>
  <si>
    <r>
      <t>S</t>
    </r>
    <r>
      <rPr>
        <b/>
        <vertAlign val="subscript"/>
        <sz val="8"/>
        <rFont val="Arial"/>
        <family val="2"/>
      </rPr>
      <t>H</t>
    </r>
    <r>
      <rPr>
        <b/>
        <sz val="8"/>
        <rFont val="Arial"/>
        <family val="2"/>
      </rPr>
      <t xml:space="preserve"> </t>
    </r>
    <r>
      <rPr>
        <sz val="8"/>
        <rFont val="Arial"/>
        <family val="2"/>
      </rPr>
      <t>above</t>
    </r>
  </si>
  <si>
    <r>
      <t>S</t>
    </r>
    <r>
      <rPr>
        <b/>
        <vertAlign val="subscript"/>
        <sz val="8"/>
        <rFont val="Arial"/>
        <family val="2"/>
      </rPr>
      <t>H</t>
    </r>
    <r>
      <rPr>
        <b/>
        <sz val="8"/>
        <rFont val="Arial"/>
        <family val="2"/>
      </rPr>
      <t xml:space="preserve"> </t>
    </r>
    <r>
      <rPr>
        <sz val="8"/>
        <rFont val="Arial"/>
        <family val="2"/>
      </rPr>
      <t>below</t>
    </r>
  </si>
  <si>
    <r>
      <t>S</t>
    </r>
    <r>
      <rPr>
        <b/>
        <vertAlign val="subscript"/>
        <sz val="8"/>
        <rFont val="Arial"/>
        <family val="2"/>
      </rPr>
      <t>H</t>
    </r>
    <r>
      <rPr>
        <b/>
        <sz val="8"/>
        <rFont val="Arial"/>
        <family val="2"/>
      </rPr>
      <t xml:space="preserve"> </t>
    </r>
    <r>
      <rPr>
        <sz val="8"/>
        <rFont val="Arial"/>
        <family val="2"/>
      </rPr>
      <t>interval</t>
    </r>
  </si>
  <si>
    <r>
      <t>S</t>
    </r>
    <r>
      <rPr>
        <b/>
        <vertAlign val="subscript"/>
        <sz val="10"/>
        <rFont val="Arial"/>
        <family val="2"/>
      </rPr>
      <t>H</t>
    </r>
    <r>
      <rPr>
        <b/>
        <sz val="10"/>
        <rFont val="Arial"/>
        <family val="2"/>
      </rPr>
      <t xml:space="preserve"> interpolation</t>
    </r>
  </si>
  <si>
    <t>P/H interpolation</t>
  </si>
  <si>
    <r>
      <t>S</t>
    </r>
    <r>
      <rPr>
        <b/>
        <vertAlign val="subscript"/>
        <sz val="10"/>
        <rFont val="Arial"/>
        <family val="2"/>
      </rPr>
      <t>C</t>
    </r>
    <r>
      <rPr>
        <b/>
        <sz val="10"/>
        <rFont val="Arial"/>
        <family val="2"/>
      </rPr>
      <t xml:space="preserve"> interpolation</t>
    </r>
  </si>
  <si>
    <r>
      <t>S</t>
    </r>
    <r>
      <rPr>
        <b/>
        <vertAlign val="subscript"/>
        <sz val="8"/>
        <rFont val="Arial"/>
        <family val="2"/>
      </rPr>
      <t>C</t>
    </r>
    <r>
      <rPr>
        <b/>
        <sz val="8"/>
        <rFont val="Arial"/>
        <family val="2"/>
      </rPr>
      <t xml:space="preserve"> </t>
    </r>
    <r>
      <rPr>
        <sz val="8"/>
        <rFont val="Arial"/>
        <family val="2"/>
      </rPr>
      <t>above</t>
    </r>
  </si>
  <si>
    <r>
      <t>S</t>
    </r>
    <r>
      <rPr>
        <b/>
        <vertAlign val="subscript"/>
        <sz val="8"/>
        <rFont val="Arial"/>
        <family val="2"/>
      </rPr>
      <t>C</t>
    </r>
    <r>
      <rPr>
        <b/>
        <sz val="8"/>
        <rFont val="Arial"/>
        <family val="2"/>
      </rPr>
      <t xml:space="preserve"> </t>
    </r>
    <r>
      <rPr>
        <sz val="8"/>
        <rFont val="Arial"/>
        <family val="2"/>
      </rPr>
      <t>below</t>
    </r>
  </si>
  <si>
    <r>
      <t>S</t>
    </r>
    <r>
      <rPr>
        <b/>
        <vertAlign val="subscript"/>
        <sz val="8"/>
        <rFont val="Arial"/>
        <family val="2"/>
      </rPr>
      <t>C</t>
    </r>
    <r>
      <rPr>
        <b/>
        <sz val="8"/>
        <rFont val="Arial"/>
        <family val="2"/>
      </rPr>
      <t xml:space="preserve"> </t>
    </r>
    <r>
      <rPr>
        <sz val="8"/>
        <rFont val="Arial"/>
        <family val="2"/>
      </rPr>
      <t>interval</t>
    </r>
  </si>
  <si>
    <r>
      <t xml:space="preserve">G
</t>
    </r>
    <r>
      <rPr>
        <sz val="8"/>
        <rFont val="Arial"/>
        <family val="2"/>
      </rPr>
      <t>(m)</t>
    </r>
  </si>
  <si>
    <r>
      <t>C</t>
    </r>
    <r>
      <rPr>
        <vertAlign val="subscript"/>
        <sz val="8"/>
        <rFont val="Arial"/>
        <family val="2"/>
      </rPr>
      <t>A</t>
    </r>
  </si>
  <si>
    <r>
      <t>C</t>
    </r>
    <r>
      <rPr>
        <vertAlign val="subscript"/>
        <sz val="8"/>
        <rFont val="Arial"/>
        <family val="2"/>
      </rPr>
      <t>B</t>
    </r>
  </si>
  <si>
    <r>
      <t>C</t>
    </r>
    <r>
      <rPr>
        <vertAlign val="subscript"/>
        <sz val="8"/>
        <rFont val="Arial"/>
        <family val="2"/>
      </rPr>
      <t>C</t>
    </r>
  </si>
  <si>
    <t>Off-form calculations</t>
  </si>
  <si>
    <t>allowance for each façade</t>
  </si>
  <si>
    <t>aggregated a/c factors</t>
  </si>
  <si>
    <t>Error checking</t>
  </si>
  <si>
    <t>Notes</t>
  </si>
  <si>
    <t>The visible glazing calculator form relies on off-form calculations to the right of the form and below it. These calculations can be displayed by using outlining controls.</t>
  </si>
  <si>
    <r>
      <t xml:space="preserve">Lookup results for input to calculations </t>
    </r>
    <r>
      <rPr>
        <i/>
        <sz val="10"/>
        <rFont val="Arial"/>
        <family val="2"/>
      </rPr>
      <t>(lookup tables on Tables worksheet)</t>
    </r>
  </si>
  <si>
    <t>No area for glazed facade</t>
  </si>
  <si>
    <t>allowance minus factor</t>
  </si>
  <si>
    <t>"active" orientation / no glazing</t>
  </si>
  <si>
    <t>facade area minus glazing area</t>
  </si>
  <si>
    <t>glazing % in each facade</t>
  </si>
  <si>
    <t>glazing area in facade</t>
  </si>
  <si>
    <t>sums</t>
  </si>
  <si>
    <t>error messages</t>
  </si>
  <si>
    <t>Less than glazing area</t>
  </si>
  <si>
    <t>format</t>
  </si>
  <si>
    <t>non-complying facades</t>
  </si>
  <si>
    <t>No glazing in facade</t>
  </si>
  <si>
    <t>aggregated factors too large</t>
  </si>
  <si>
    <t>Error checking will highlight incompatibilities between declared "Facade areas" and related glazing element details on the body of the form. Issues are flagged to the right of the "Facade areas" table.</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</si>
  <si>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</si>
  <si>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</si>
  <si>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Glazing and shading details allow display of calculator outcomes:</t>
  </si>
  <si>
    <t>Relevant error messages on the right will be displayed when calculator outcomes are suppressed.</t>
  </si>
  <si>
    <t>Zone Energy Indices</t>
  </si>
  <si>
    <t>Zone Constants</t>
  </si>
  <si>
    <r>
      <t>S</t>
    </r>
    <r>
      <rPr>
        <b/>
        <vertAlign val="subscript"/>
        <sz val="8"/>
        <rFont val="Arial"/>
        <family val="2"/>
      </rPr>
      <t>H</t>
    </r>
    <r>
      <rPr>
        <b/>
        <sz val="8"/>
        <rFont val="Arial"/>
        <family val="2"/>
      </rPr>
      <t xml:space="preserve"> used</t>
    </r>
  </si>
  <si>
    <r>
      <t>S</t>
    </r>
    <r>
      <rPr>
        <b/>
        <vertAlign val="subscript"/>
        <sz val="8"/>
        <rFont val="Arial"/>
        <family val="2"/>
      </rPr>
      <t>C</t>
    </r>
    <r>
      <rPr>
        <b/>
        <sz val="8"/>
        <rFont val="Arial"/>
        <family val="2"/>
      </rPr>
      <t xml:space="preserve"> used</t>
    </r>
  </si>
  <si>
    <t>count</t>
  </si>
  <si>
    <t>no Sector</t>
  </si>
  <si>
    <t>In these explanatory notes and the off-form calculations, the terms "facades", "orientations" and "sectors" are interchangeable in many contexts.</t>
  </si>
  <si>
    <t>This message applies to both DTS and LowR facades</t>
  </si>
  <si>
    <t>target</t>
  </si>
  <si>
    <t>% target</t>
  </si>
  <si>
    <t>G &lt;=</t>
  </si>
  <si>
    <t>extra rows</t>
  </si>
  <si>
    <t>Notes:</t>
  </si>
  <si>
    <t>This sheet contains instructions for use of the Glazing Calculator.</t>
  </si>
  <si>
    <t>These may be in note form or as annotations to screenshots (once produced).</t>
  </si>
  <si>
    <t>Hyperlinks allow navigation between the Calculator and this screen.</t>
  </si>
  <si>
    <t>Adding and changing glazing details:</t>
  </si>
  <si>
    <t>The Calculator has been designed to identify anticipated input errors but may not trap all invalid inputs.</t>
  </si>
  <si>
    <t>Printing:</t>
  </si>
  <si>
    <t>Operating system:</t>
  </si>
  <si>
    <t>Tips for using the Glazing Calculator:</t>
  </si>
  <si>
    <t>Low R option not applicable in zone 8</t>
  </si>
  <si>
    <t>Option A facades</t>
  </si>
  <si>
    <t>option B facade in zone 8</t>
  </si>
  <si>
    <t>DTS (Option A) facade and glazing areas compatible:</t>
  </si>
  <si>
    <t>LowR (Option B) facade and glazing areas compatible:</t>
  </si>
  <si>
    <t>All values 1.00 in accord with Note 1 below table</t>
  </si>
  <si>
    <t>Size</t>
  </si>
  <si>
    <t>Performance</t>
  </si>
  <si>
    <t>glazing height needed</t>
  </si>
  <si>
    <t>The first row on the body of the form contains light yellow fill by default to signal that at least one glazing element must be described. Conditional formatting applies similar shading once a sector has been declared.</t>
  </si>
  <si>
    <t>In the body of the form, conditional formatting changes the appearance of cells when they are "active" (sector listed), "incomplete" (essential data missing) or "in error" (data invalid or part of a non-complying façade).</t>
  </si>
  <si>
    <t>element share</t>
  </si>
  <si>
    <t>calculated a/c factor</t>
  </si>
  <si>
    <t>a/c factor used</t>
  </si>
  <si>
    <t>Details of at least one facade and at least one glazing element in that facade must be supplied for Calculator outcomes to be displayed.</t>
  </si>
  <si>
    <t>Yellow filled cells on the Calculator form are accessible for user input. (Other cells generally cannot be selected or edited, except as noted below for the glazing elements table.)</t>
  </si>
  <si>
    <t>LastActive</t>
  </si>
  <si>
    <t>TableEntries</t>
  </si>
  <si>
    <t>RowsActive</t>
  </si>
  <si>
    <t>row</t>
  </si>
  <si>
    <t>show</t>
  </si>
  <si>
    <t>active shown</t>
  </si>
  <si>
    <t>filled cells</t>
  </si>
  <si>
    <t>row active</t>
  </si>
  <si>
    <t>filled data</t>
  </si>
  <si>
    <t>Keep row below glazing elements table blank to ensure intended operation of autofilter for rows</t>
  </si>
  <si>
    <t xml:space="preserve">Option A </t>
  </si>
  <si>
    <t>Glazing elements table display</t>
  </si>
  <si>
    <t>rows available in form</t>
  </si>
  <si>
    <t>RowsAvailable</t>
  </si>
  <si>
    <t>rows currently displayed</t>
  </si>
  <si>
    <t>RowsDisplayed</t>
  </si>
  <si>
    <t>active' rows displayed</t>
  </si>
  <si>
    <t>ActiveDisplayed</t>
  </si>
  <si>
    <t>active' rows NOT displayed</t>
  </si>
  <si>
    <t>ActiveHidden</t>
  </si>
  <si>
    <t>RowsWithData</t>
  </si>
  <si>
    <t>no grey Type A</t>
  </si>
  <si>
    <t>no grey Type B</t>
  </si>
  <si>
    <t>size needed</t>
  </si>
  <si>
    <t>inputs OK</t>
  </si>
  <si>
    <t>shading active</t>
  </si>
  <si>
    <t>ComplianceErrors</t>
  </si>
  <si>
    <t>ComplianceErrorsLowR</t>
  </si>
  <si>
    <t>ComplianceErrorsTotal</t>
  </si>
  <si>
    <t>DudPerformance</t>
  </si>
  <si>
    <t>DudShading</t>
  </si>
  <si>
    <t>invalid P</t>
  </si>
  <si>
    <t>shading H needed</t>
  </si>
  <si>
    <t>H without P</t>
  </si>
  <si>
    <t>DudTableInputs</t>
  </si>
  <si>
    <t>RowsOK</t>
  </si>
  <si>
    <t>AdviceIssuesOnly</t>
  </si>
  <si>
    <t>AllInputsOK</t>
  </si>
  <si>
    <t>master cell for confirmation of inputs</t>
  </si>
  <si>
    <t>InputIssues</t>
  </si>
  <si>
    <t>issues</t>
  </si>
  <si>
    <t>issue / advice messages</t>
  </si>
  <si>
    <t>OrphanData</t>
  </si>
  <si>
    <t>VisibleFailures</t>
  </si>
  <si>
    <t>P/H &gt; 2</t>
  </si>
  <si>
    <t>h x w &lt;&gt; area</t>
  </si>
  <si>
    <t>visible failure</t>
  </si>
  <si>
    <t>Glimit</t>
  </si>
  <si>
    <t>H - h &gt; G limit</t>
  </si>
  <si>
    <t>Element outcomes</t>
  </si>
  <si>
    <t>DudSize</t>
  </si>
  <si>
    <t>width ignored</t>
  </si>
  <si>
    <t>OrientationsA (dynamic range)</t>
  </si>
  <si>
    <t>NumberActive</t>
  </si>
  <si>
    <t>ActiveA</t>
  </si>
  <si>
    <t>NumberActiveLowR</t>
  </si>
  <si>
    <t>ActiveB</t>
  </si>
  <si>
    <t>OrientationsB (dynamic range)</t>
  </si>
  <si>
    <t>NoSector</t>
  </si>
  <si>
    <t>DudSector</t>
  </si>
  <si>
    <t>Aggregated outcomes appear below the form</t>
  </si>
  <si>
    <t>Allowance exceeded in DTS facades:</t>
  </si>
  <si>
    <t>Allowance exceeded in LowR facades:</t>
  </si>
  <si>
    <t>NumberNonComplying</t>
  </si>
  <si>
    <t>NumberNonComplyingLowR</t>
  </si>
  <si>
    <t>hluNonComplying</t>
  </si>
  <si>
    <t>hluNonComplyingLowR</t>
  </si>
  <si>
    <t>Error message for title row of glazing elements table if rows containing data are hidden.</t>
  </si>
  <si>
    <t>Option A
(DTS) failures</t>
  </si>
  <si>
    <t>Option B
(LowR) failures</t>
  </si>
  <si>
    <t>Aggregate over limit</t>
  </si>
  <si>
    <t>errors</t>
  </si>
  <si>
    <t>status</t>
  </si>
  <si>
    <t>NoZoneTableActive</t>
  </si>
  <si>
    <t>EmptyA</t>
  </si>
  <si>
    <t>EmptyB</t>
  </si>
  <si>
    <t>(Among other uses), if false, dynamic range used for data validation of sector entries contracts to single cell with "n/a" message</t>
  </si>
  <si>
    <t>TopInputsOK</t>
  </si>
  <si>
    <t>Facade area inputs</t>
  </si>
  <si>
    <t>Option A</t>
  </si>
  <si>
    <t>Option B</t>
  </si>
  <si>
    <t>Glazing elements sectors available</t>
  </si>
  <si>
    <t>Option A - DTS insulated facades:</t>
  </si>
  <si>
    <t>orientation ID numbers</t>
  </si>
  <si>
    <t>orientations list (dynamic range)</t>
  </si>
  <si>
    <t>orientations in glazing table</t>
  </si>
  <si>
    <t>'active' orientation IDs</t>
  </si>
  <si>
    <t>Option B - LowR facades:</t>
  </si>
  <si>
    <t>'active' orientation names</t>
  </si>
  <si>
    <t>GlazingPercents</t>
  </si>
  <si>
    <t>GlazingPercentsLowR</t>
  </si>
  <si>
    <t>Aggregated glazing areas for each facade</t>
  </si>
  <si>
    <t>ActiveOrientations</t>
  </si>
  <si>
    <t>NumberListed</t>
  </si>
  <si>
    <t>ActiveOrientationsLowR</t>
  </si>
  <si>
    <t>NumberListedLowR</t>
  </si>
  <si>
    <t>NumberActiveTotal</t>
  </si>
  <si>
    <t>Compliance checks for each orientation</t>
  </si>
  <si>
    <t>Aggregates</t>
  </si>
  <si>
    <t>Allowances</t>
  </si>
  <si>
    <t>AggregatesLowR</t>
  </si>
  <si>
    <t>AllowancesLowR</t>
  </si>
  <si>
    <t>NoFacade</t>
  </si>
  <si>
    <t>NoFacadeLowR</t>
  </si>
  <si>
    <t>outcome label</t>
  </si>
  <si>
    <t>Shading</t>
  </si>
  <si>
    <t>Orientations</t>
  </si>
  <si>
    <t>Sectors</t>
  </si>
  <si>
    <t>Constants (with 8 separate areas, one for each climate zone)</t>
  </si>
  <si>
    <t>EnergyIndex</t>
  </si>
  <si>
    <t>ZoneConstants</t>
  </si>
  <si>
    <t>ZoneIndex</t>
  </si>
  <si>
    <t>ZoneIndexLowR</t>
  </si>
  <si>
    <t>Glazing head to underside of projection (distance G)</t>
  </si>
  <si>
    <t>Gsteps</t>
  </si>
  <si>
    <t>Grows</t>
  </si>
  <si>
    <r>
      <t>extra</t>
    </r>
    <r>
      <rPr>
        <b/>
        <sz val="8"/>
        <rFont val="Arial"/>
        <family val="2"/>
      </rPr>
      <t xml:space="preserve"> P/H rows</t>
    </r>
  </si>
  <si>
    <t>in descending order to suit lookup of smallest value greater than or equal to target</t>
  </si>
  <si>
    <r>
      <t>IMPORTANT NOTICE AND DISCLAIMER IN RESPECT OF THE GLAZING CALCULATOR</t>
    </r>
    <r>
      <rPr>
        <sz val="8"/>
        <rFont val="Arial"/>
        <family val="2"/>
      </rPr>
      <t xml:space="preserve">
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r>
  </si>
  <si>
    <t>ShowPass</t>
  </si>
  <si>
    <t>glazing exceeds facade area</t>
  </si>
  <si>
    <t>sector in 'inactive' Option A facade</t>
  </si>
  <si>
    <t>sector in 'inactive' Option B facade</t>
  </si>
  <si>
    <t>two sectors given</t>
  </si>
  <si>
    <t>alert priority</t>
  </si>
  <si>
    <t>row height</t>
  </si>
  <si>
    <t>OrphanElementsA</t>
  </si>
  <si>
    <t>OrphanElementsB</t>
  </si>
  <si>
    <t>SurplusGlazingA</t>
  </si>
  <si>
    <t>SurplusGlazingB</t>
  </si>
  <si>
    <t>UnusedFacadesA</t>
  </si>
  <si>
    <t>UnusedFacadesB</t>
  </si>
  <si>
    <t>FacadeErrorsA</t>
  </si>
  <si>
    <t>FacadeErrorsB</t>
  </si>
  <si>
    <t>UnusedFacades</t>
  </si>
  <si>
    <t>SurplusGlazing</t>
  </si>
  <si>
    <t>OrphanElements</t>
  </si>
  <si>
    <t>BinZone8</t>
  </si>
  <si>
    <t>Option B not applicable in zone 8</t>
  </si>
  <si>
    <t>Error checking for glazing elements</t>
  </si>
  <si>
    <t>make conditional on active rows</t>
  </si>
  <si>
    <t>sums of error columns (A)</t>
  </si>
  <si>
    <t>sums of error columns (B)</t>
  </si>
  <si>
    <t>element in facade with no area</t>
  </si>
  <si>
    <t>sums of error columns (A&amp;B)</t>
  </si>
  <si>
    <t>AllErrors</t>
  </si>
  <si>
    <t>Test is conditional on at least 1 element having complete inputs</t>
  </si>
  <si>
    <t>Multipliers</t>
  </si>
  <si>
    <t>Number of rows preferred in table below</t>
  </si>
  <si>
    <t>Glazing element</t>
  </si>
  <si>
    <r>
      <t xml:space="preserve">Height
</t>
    </r>
    <r>
      <rPr>
        <sz val="8"/>
        <rFont val="Arial"/>
        <family val="2"/>
      </rPr>
      <t>(m)</t>
    </r>
  </si>
  <si>
    <r>
      <t xml:space="preserve">Width
</t>
    </r>
    <r>
      <rPr>
        <sz val="8"/>
        <rFont val="Arial"/>
        <family val="2"/>
      </rPr>
      <t>(m)</t>
    </r>
  </si>
  <si>
    <r>
      <t xml:space="preserve">Area
</t>
    </r>
    <r>
      <rPr>
        <sz val="8"/>
        <rFont val="Arial"/>
        <family val="2"/>
      </rPr>
      <t>(m²)</t>
    </r>
  </si>
  <si>
    <r>
      <t xml:space="preserve">Area used
</t>
    </r>
    <r>
      <rPr>
        <sz val="8"/>
        <rFont val="Arial"/>
        <family val="2"/>
      </rPr>
      <t>(m²)</t>
    </r>
  </si>
  <si>
    <t>Element share
of % of
allowance used</t>
  </si>
  <si>
    <t>In the glazing elements table, all white cells below the heading rows are accessible but they are not yellow filled by default. As details are added to any row of the table, accessible cells will be yellow filled once an orientation sector has been given for the glazing element.</t>
  </si>
  <si>
    <t>Any of the yellow filled cells can be selected and edited. Adjoining yellow filled cells can be selected in a block (or range) to clear their contents at the same time.</t>
  </si>
  <si>
    <t>Calculator outcomes cannot be displayed until all input issues have been resolved (clearing any colour highlighting and advisory messages). Several messages may appear in sequence for the same row as issues are resolved.</t>
  </si>
  <si>
    <t>These Help instructions can be printed (using File | Print) for ready reference while using the Calculator form.</t>
  </si>
  <si>
    <t>Error and alert messages:</t>
  </si>
  <si>
    <t xml:space="preserve">The Calculator form has been designed for viewing as a whole "page" with 10 rows visible in the glazing elements table (assuming a screen resolution of 1024 x 768 pixels). </t>
  </si>
  <si>
    <t>This sheet contains annotated screenshots of the Glazing Calculator.</t>
  </si>
  <si>
    <t>Hyperlinks allow navigation between this sheet, the Help screen and the Calculator form.</t>
  </si>
  <si>
    <t>1.</t>
  </si>
  <si>
    <t>Titles of screenshots are by formulae from Help sheet.</t>
  </si>
  <si>
    <t>2.</t>
  </si>
  <si>
    <t>3.</t>
  </si>
  <si>
    <t>Displaying the Calculator form:</t>
  </si>
  <si>
    <r>
      <t xml:space="preserve">Updates to this file may be available for download from the ABCB website from time to time.
The file name will include the version number. </t>
    </r>
    <r>
      <rPr>
        <b/>
        <sz val="10"/>
        <rFont val="Arial"/>
        <family val="2"/>
      </rPr>
      <t>The latest version should always be used.</t>
    </r>
  </si>
  <si>
    <t>A record of changes made to each version of the Glazing Calculator appears at the end of this Help section. (Scroll down to see the version history.)</t>
  </si>
  <si>
    <t>Version history:</t>
  </si>
  <si>
    <t>1.01:</t>
  </si>
  <si>
    <t>•</t>
  </si>
  <si>
    <t>Enhanced input cues for data needed above the glazing elements table.</t>
  </si>
  <si>
    <t>Added this Version history to the Help screen.</t>
  </si>
  <si>
    <t>1.00:</t>
  </si>
  <si>
    <t>First public issue.</t>
  </si>
  <si>
    <t>Added a new note 3 to Help notes.</t>
  </si>
  <si>
    <t>Storey needed (no glazing)</t>
  </si>
  <si>
    <t>no Storey but active glazing</t>
  </si>
  <si>
    <t>Class 3</t>
  </si>
  <si>
    <t>other</t>
  </si>
  <si>
    <t>ValidApplications</t>
  </si>
  <si>
    <t>Table contents change depending on selection of Application on the Calculator sheet</t>
  </si>
  <si>
    <t>Glazing in a Class 3 building and a Class 9c aged care building</t>
  </si>
  <si>
    <t>Display glazing in a shop or showroom</t>
  </si>
  <si>
    <t>Glazing in other than a Class 3 building, a Class 9c aged care building or display glazing in a shop or showroom</t>
  </si>
  <si>
    <t>A</t>
  </si>
  <si>
    <t>B</t>
  </si>
  <si>
    <t>IndexRow</t>
  </si>
  <si>
    <t>used as precedent in Index formulae above</t>
  </si>
  <si>
    <t>row number for A entries</t>
  </si>
  <si>
    <t>Source for selected Energy Index table above (values from Table J2.4a in BCA Volume One)</t>
  </si>
  <si>
    <t>Values in BCA 2010 unchanged from BCA 2009</t>
  </si>
  <si>
    <t>Individual tables are provided for each climate zone even where the BCA has zones sharing the same table. (This is to suit lookup functions and to allow for any future changes to the tables.)</t>
  </si>
  <si>
    <t>Tables include all of those needed to complete compliance calculations for J2.4.</t>
  </si>
  <si>
    <t>Applications list for Table J2.4a</t>
  </si>
  <si>
    <t>Application needed (no glazing)</t>
  </si>
  <si>
    <t>no Application but active glazing</t>
  </si>
  <si>
    <t xml:space="preserve">no Building but active glazing </t>
  </si>
  <si>
    <t xml:space="preserve">no Building (no glazing) </t>
  </si>
  <si>
    <t>no Zone but active glazing</t>
  </si>
  <si>
    <t>if TRUE</t>
  </si>
  <si>
    <r>
      <t xml:space="preserve">Class 9c </t>
    </r>
    <r>
      <rPr>
        <i/>
        <sz val="10"/>
        <rFont val="Arial"/>
        <family val="2"/>
      </rPr>
      <t>aged care</t>
    </r>
  </si>
  <si>
    <t>Zone needed (no glazing)</t>
  </si>
  <si>
    <t>First4Inputs</t>
  </si>
  <si>
    <t>Facade area has no inputs</t>
  </si>
  <si>
    <t>first 4 inputs (only) complete</t>
  </si>
  <si>
    <t>Facade area has some inputs</t>
  </si>
  <si>
    <t>If both are TRUE and preceding inputs have been given and no sectors assigned, then input advice appears to the right of the table.</t>
  </si>
  <si>
    <t>all top inputs (only) complete</t>
  </si>
  <si>
    <t>Building and zone inputs</t>
  </si>
  <si>
    <t>leader text</t>
  </si>
  <si>
    <t>Glazing area reporting</t>
  </si>
  <si>
    <t>top inputs OK and active rows</t>
  </si>
  <si>
    <t>TopOKwithActive</t>
  </si>
  <si>
    <t>Results appear below Facade areas table as glazing elements are listed</t>
  </si>
  <si>
    <t>internal</t>
  </si>
  <si>
    <t xml:space="preserve"> form sector</t>
  </si>
  <si>
    <t>lookup sector</t>
  </si>
  <si>
    <t>shop display</t>
  </si>
  <si>
    <t>showroom display</t>
  </si>
  <si>
    <t>n/a</t>
  </si>
  <si>
    <t>Outcomes</t>
  </si>
  <si>
    <r>
      <t xml:space="preserve">Heating
</t>
    </r>
    <r>
      <rPr>
        <sz val="8"/>
        <rFont val="Arial"/>
        <family val="2"/>
      </rPr>
      <t>(S</t>
    </r>
    <r>
      <rPr>
        <vertAlign val="subscript"/>
        <sz val="8"/>
        <rFont val="Arial"/>
        <family val="2"/>
      </rPr>
      <t>H</t>
    </r>
    <r>
      <rPr>
        <sz val="8"/>
        <rFont val="Arial"/>
        <family val="2"/>
      </rPr>
      <t>)</t>
    </r>
  </si>
  <si>
    <r>
      <t xml:space="preserve">Cooling </t>
    </r>
    <r>
      <rPr>
        <sz val="8"/>
        <rFont val="Arial"/>
        <family val="2"/>
      </rPr>
      <t>(S</t>
    </r>
    <r>
      <rPr>
        <vertAlign val="subscript"/>
        <sz val="8"/>
        <rFont val="Arial"/>
        <family val="2"/>
      </rPr>
      <t>C</t>
    </r>
    <r>
      <rPr>
        <sz val="8"/>
        <rFont val="Arial"/>
        <family val="2"/>
      </rPr>
      <t>)</t>
    </r>
  </si>
  <si>
    <t>Facing sector</t>
  </si>
  <si>
    <r>
      <t xml:space="preserve">P&amp;H </t>
    </r>
    <r>
      <rPr>
        <sz val="8"/>
        <rFont val="Arial"/>
        <family val="2"/>
      </rPr>
      <t>or</t>
    </r>
    <r>
      <rPr>
        <b/>
        <sz val="8"/>
        <rFont val="Arial"/>
        <family val="2"/>
      </rPr>
      <t xml:space="preserve"> device</t>
    </r>
  </si>
  <si>
    <t>ROW SKIPPED</t>
  </si>
  <si>
    <t>RowsSkipped</t>
  </si>
  <si>
    <t>2.00:</t>
  </si>
  <si>
    <t>First public issue of revised version for use with BCA 2010.</t>
  </si>
  <si>
    <t>The input cell for the number of rows preferred will not accept numbers that would cause data used by calculations to be hidden. (This data includes inputs to the 'Facing sector' columns and those to the right.)  A warning message will be displayed if this is attempted.</t>
  </si>
  <si>
    <t>Identified issues concerning inputs above the glazing elements table are flagged above the input cells.</t>
  </si>
  <si>
    <t>Light green filled cells to the right of the table contain calculations whose results can be seen but not edited. To change results, change the user inputs.</t>
  </si>
  <si>
    <t>Input issues in each row of the glazing elements table are identified in red font to the right of the row (overlaying the calculations area).</t>
  </si>
  <si>
    <t>Not more than 100 mm</t>
  </si>
  <si>
    <t>More than 100 mm but not more than 500 mm</t>
  </si>
  <si>
    <t>More than 500 mm but not more than 1200 mm</t>
  </si>
  <si>
    <t>Values in the table above confirmed on 7.2.10 to match the final BCA 2010 values</t>
  </si>
  <si>
    <t>More than 1200 mm but less than 1800 mm</t>
  </si>
  <si>
    <t>1.02:</t>
  </si>
  <si>
    <t>Amended tip contained in the note for facade areas.</t>
  </si>
  <si>
    <t>Merged building description text box to become one cell.</t>
  </si>
  <si>
    <t xml:space="preserve">Data validation constrains"Application", "Climate zone" and "Facing sector" values to those shown in BCA tables, "G" to the limits of the DTS shading provisions and "Facade areas" to positive values only. </t>
  </si>
  <si>
    <t>Increased the maximum number of rows available in the glazing elements table from 40 to 80.</t>
  </si>
  <si>
    <t>If copying data between cells, always use Paste Special | Paste Values to avoid formatting errors on the Calculator form.</t>
  </si>
  <si>
    <t>To remove unwanted data, select the cell or range, right click to show the context menu and select 'Clear Contents' from that menu. Alternatively (in Windows), use the Delete key.</t>
  </si>
  <si>
    <t>When all input cells on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</si>
  <si>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Missing inputs anywhere on the form are generally highlighted by tan fill. Invalid inputs or those which may be contributing to outcomes failures are highlighted by orange fill.</t>
  </si>
  <si>
    <t>The 'Help' button shown on the top right of the Calculator form, the coloured band behind the title and the worksheet background are not intended to print as part of the form (to reduce ink or toner usage).</t>
  </si>
  <si>
    <t>The Calculator form can be printed using the File | Print menu.</t>
  </si>
  <si>
    <t>The .xlsx file is suitable for use in the 2007 and 2010 versions of Excel for Windows and in the 2011 version of Excel for Apple Mac ®. These Help instructions and the screenshots refer to the Windows version and may not fully reflect the Mac interface.</t>
  </si>
  <si>
    <r>
      <t>Some users may need to adjust the screen zoom setting to see the whole form at once.</t>
    </r>
    <r>
      <rPr>
        <sz val="10"/>
        <rFont val="Arial"/>
        <family val="2"/>
      </rPr>
      <t xml:space="preserve"> The worksheet background does not change when zoom settings are altered and also does not print.</t>
    </r>
  </si>
  <si>
    <t xml:space="preserve">Calculator outcomes resulting in a "tick" are valid only if all of the input details comply with BCA elemental DTS requirements.
</t>
  </si>
  <si>
    <r>
      <t xml:space="preserve">Users with </t>
    </r>
    <r>
      <rPr>
        <b/>
        <sz val="10"/>
        <rFont val="Arial"/>
        <family val="2"/>
      </rPr>
      <t>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</si>
  <si>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The print area has been pre-set to allow printing as one or more A4 pages (landscape format), depending on the number of rows displayed in the form. Some margins may need to be adjusted to suit some printers (particularly inkjets).</t>
  </si>
  <si>
    <t>Revised Help notes and screenshots to suit Calculator changes.</t>
  </si>
  <si>
    <t>Modified Calculator formatting and error reporting for compatibility with Excel 2010 on Windows and 2011 on Mac.</t>
  </si>
  <si>
    <t>First public issue of version with minor correction made in BCA 2012 to a single heating shading multiplier in Table J2.4c (for climate zone 8, G more than 100 mm but not more than 500 mm, P/H=2.0 in the South orientation).</t>
  </si>
  <si>
    <t>Changed wording of one input alert message.</t>
  </si>
  <si>
    <t>2.01 (December 2011):</t>
  </si>
  <si>
    <t>Tables on this sheet have been checked against the final .pdf text for BCA 2012 Volume One (May 2012).</t>
  </si>
  <si>
    <r>
      <t>3.00</t>
    </r>
    <r>
      <rPr>
        <sz val="10"/>
        <rFont val="Arial"/>
        <family val="2"/>
      </rPr>
      <t xml:space="preserve"> (May 2012):</t>
    </r>
  </si>
  <si>
    <t>The Glazing Calculator has been developed in the Windows ® versions of Microsoft Excel ® 2003 and 2007/10. Two separate file formats (.xls and .xlsx) are offered due to formatting incompatibilities between Excel versions. This file is in the .xlsx format.</t>
  </si>
  <si>
    <t>This version of the glazing calculator is valid only for BCA Volume One from 2012.</t>
  </si>
  <si>
    <r>
      <t xml:space="preserve">Total System
U-Value
</t>
    </r>
    <r>
      <rPr>
        <sz val="8"/>
        <rFont val="Arial"/>
        <family val="2"/>
      </rPr>
      <t>(AFRC)</t>
    </r>
  </si>
  <si>
    <r>
      <t xml:space="preserve">Total System
SHGC
</t>
    </r>
    <r>
      <rPr>
        <sz val="8"/>
        <rFont val="Arial"/>
        <family val="2"/>
      </rPr>
      <t>(AFRC)</t>
    </r>
  </si>
  <si>
    <r>
      <t xml:space="preserve">Description 
</t>
    </r>
    <r>
      <rPr>
        <sz val="8"/>
        <rFont val="Arial"/>
        <family val="2"/>
      </rPr>
      <t>(optional)</t>
    </r>
  </si>
  <si>
    <t>Copyright © 2013 – Australian Government, State and Territory Governments of Australia. All Rights Reserved</t>
  </si>
  <si>
    <r>
      <t xml:space="preserve">3.01 </t>
    </r>
    <r>
      <rPr>
        <sz val="10"/>
        <rFont val="Arial"/>
        <family val="2"/>
      </rPr>
      <t>(May 2013):</t>
    </r>
  </si>
  <si>
    <t>Calculator version (3.01):</t>
  </si>
  <si>
    <t xml:space="preserve">BCA VOLUME ONE GLAZING CALCULATOR (first issued with BCA 2013) </t>
  </si>
  <si>
    <t>Version 3.01 of the Glazing Calculator was first issued for use under Part J2.4 Glazing of BCA 2013 Volume One.</t>
  </si>
  <si>
    <t>Total System U-value needed</t>
  </si>
  <si>
    <t>Total System SHGC needed</t>
  </si>
  <si>
    <t>Changed "Total U-Value" and "SHGC" to "Total System U-Value" and "Total System SHGC" 
to reflect changes to BCA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</si>
</sst>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0.0"/>
    <numFmt numFmtId="165" formatCode="0.00_ ;[Red]\-0.00\ "/>
    <numFmt numFmtId="166" formatCode="0_ ;[Red]\-0\ "/>
    <numFmt numFmtId="167" formatCode="0.0_ ;[Red]\-0.0\ "/>
    <numFmt numFmtId="168" formatCode="0.0;;"/>
    <numFmt numFmtId="169" formatCode="General&quot;m²&quot;"/>
    <numFmt numFmtId="170" formatCode="0.000"/>
    <numFmt numFmtId="171" formatCode="#,##0.00_ ;[Red]\-#,##0.00\ "/>
    <numFmt numFmtId="172" formatCode="0.0;[Red]\-0.0;\-;"/>
    <numFmt numFmtId="173" formatCode="0%;[Red]\-0%;\-;"/>
    <numFmt numFmtId="174" formatCode="General;\-General;&quot;-&quot;;"/>
    <numFmt numFmtId="175" formatCode="#,##0.000_ ;[Red]\-#,##0.000\ "/>
    <numFmt numFmtId="176" formatCode="0."/>
    <numFmt numFmtId="177" formatCode="0.00_ ;[Red]\-0.00\ ;0"/>
    <numFmt numFmtId="178" formatCode="0%;\-0%;0"/>
    <numFmt numFmtId="179" formatCode="0.00;;0"/>
    <numFmt numFmtId="180" formatCode="0%;;0"/>
    <numFmt numFmtId="181" formatCode="0.00;[Red]\-0.00;0"/>
    <numFmt numFmtId="182" formatCode="0.00\ ;;"/>
    <numFmt numFmtId="183" formatCode="General&quot;m²&quot;;;"/>
  </numFmts>
  <fonts count="95"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i/>
      <sz val="10"/>
      <color indexed="12"/>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sz val="10"/>
      <color indexed="55"/>
      <name val="Arial"/>
      <family val="2"/>
    </font>
    <font>
      <vertAlign val="subscript"/>
      <sz val="8"/>
      <name val="Arial"/>
      <family val="2"/>
    </font>
    <font>
      <b/>
      <sz val="12"/>
      <name val="Arial"/>
      <family val="2"/>
    </font>
    <font>
      <b/>
      <sz val="10"/>
      <color indexed="23"/>
      <name val="Arial"/>
      <family val="2"/>
    </font>
    <font>
      <sz val="10"/>
      <color indexed="23"/>
      <name val="Arial"/>
      <family val="2"/>
    </font>
    <font>
      <b/>
      <i/>
      <sz val="10"/>
      <color indexed="23"/>
      <name val="Arial"/>
      <family val="2"/>
    </font>
    <font>
      <b/>
      <sz val="8"/>
      <color indexed="9"/>
      <name val="Arial"/>
      <family val="2"/>
    </font>
    <font>
      <b/>
      <vertAlign val="subscript"/>
      <sz val="10"/>
      <name val="Arial"/>
      <family val="2"/>
    </font>
    <font>
      <b/>
      <vertAlign val="subscript"/>
      <sz val="8"/>
      <name val="Arial"/>
      <family val="2"/>
    </font>
    <font>
      <i/>
      <sz val="10"/>
      <color indexed="23"/>
      <name val="Arial"/>
      <family val="2"/>
    </font>
    <font>
      <sz val="10"/>
      <color indexed="55"/>
      <name val="Arial"/>
      <family val="2"/>
    </font>
    <font>
      <sz val="8"/>
      <color indexed="9"/>
      <name val="Arial"/>
      <family val="2"/>
    </font>
    <font>
      <sz val="8"/>
      <color indexed="9"/>
      <name val="Arial"/>
      <family val="2"/>
    </font>
    <font>
      <sz val="8"/>
      <color indexed="55"/>
      <name val="Arial"/>
      <family val="2"/>
    </font>
    <font>
      <b/>
      <sz val="8"/>
      <name val="Arial"/>
      <family val="2"/>
    </font>
    <font>
      <b/>
      <i/>
      <sz val="10"/>
      <color indexed="9"/>
      <name val="Arial"/>
      <family val="2"/>
    </font>
    <font>
      <sz val="10"/>
      <color indexed="10"/>
      <name val="Arial"/>
      <family val="2"/>
    </font>
    <font>
      <b/>
      <i/>
      <sz val="10"/>
      <color indexed="23"/>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b/>
      <sz val="10"/>
      <name val="Arial"/>
      <family val="2"/>
    </font>
    <font>
      <b/>
      <i/>
      <sz val="10"/>
      <color indexed="57"/>
      <name val="Arial"/>
      <family val="2"/>
    </font>
    <font>
      <sz val="8"/>
      <color indexed="23"/>
      <name val="Arial"/>
      <family val="2"/>
    </font>
    <font>
      <b/>
      <i/>
      <sz val="10"/>
      <color indexed="10"/>
      <name val="Arial"/>
      <family val="2"/>
    </font>
    <font>
      <b/>
      <sz val="16"/>
      <name val="Arial"/>
      <family val="2"/>
    </font>
    <font>
      <sz val="20"/>
      <name val="Arial"/>
      <family val="2"/>
    </font>
    <font>
      <i/>
      <sz val="8"/>
      <color indexed="23"/>
      <name val="Arial"/>
      <family val="2"/>
    </font>
    <font>
      <i/>
      <sz val="8"/>
      <color indexed="12"/>
      <name val="Arial"/>
      <family val="2"/>
    </font>
    <font>
      <i/>
      <sz val="10"/>
      <color indexed="9"/>
      <name val="Arial"/>
      <family val="2"/>
    </font>
    <font>
      <b/>
      <sz val="10"/>
      <color indexed="10"/>
      <name val="Arial"/>
      <family val="2"/>
    </font>
    <font>
      <b/>
      <i/>
      <sz val="8"/>
      <color indexed="10"/>
      <name val="Arial"/>
      <family val="2"/>
    </font>
    <font>
      <i/>
      <sz val="8"/>
      <color indexed="10"/>
      <name val="Arial"/>
      <family val="2"/>
    </font>
    <font>
      <i/>
      <sz val="8"/>
      <color indexed="55"/>
      <name val="Arial"/>
      <family val="2"/>
    </font>
    <font>
      <b/>
      <sz val="10"/>
      <color indexed="53"/>
      <name val="Arial"/>
      <family val="2"/>
    </font>
    <font>
      <b/>
      <i/>
      <sz val="10"/>
      <color indexed="53"/>
      <name val="Arial"/>
      <family val="2"/>
    </font>
    <font>
      <b/>
      <i/>
      <sz val="10"/>
      <color indexed="17"/>
      <name val="Arial"/>
      <family val="2"/>
    </font>
    <font>
      <i/>
      <sz val="8"/>
      <color indexed="10"/>
      <name val="Tahoma"/>
      <family val="2"/>
    </font>
    <font>
      <i/>
      <sz val="8"/>
      <color indexed="12"/>
      <name val="Tahoma"/>
      <family val="2"/>
    </font>
    <font>
      <b/>
      <sz val="72"/>
      <color indexed="23"/>
      <name val="Wingdings"/>
      <charset val="2"/>
    </font>
    <font>
      <sz val="10"/>
      <color indexed="10"/>
      <name val="Arial"/>
      <family val="2"/>
    </font>
    <font>
      <sz val="10"/>
      <color indexed="22"/>
      <name val="Arial"/>
      <family val="2"/>
    </font>
    <font>
      <i/>
      <sz val="8"/>
      <color indexed="81"/>
      <name val="Tahoma"/>
      <family val="2"/>
    </font>
    <font>
      <sz val="16"/>
      <name val="Arial"/>
      <family val="2"/>
    </font>
    <font>
      <sz val="28"/>
      <name val="Arial"/>
      <family val="2"/>
    </font>
    <font>
      <sz val="10"/>
      <color indexed="23"/>
      <name val="Arial"/>
      <family val="2"/>
    </font>
    <font>
      <b/>
      <sz val="10"/>
      <color indexed="23"/>
      <name val="Arial"/>
      <family val="2"/>
    </font>
    <font>
      <i/>
      <sz val="10"/>
      <color indexed="23"/>
      <name val="Arial"/>
      <family val="2"/>
    </font>
    <font>
      <b/>
      <i/>
      <sz val="10"/>
      <color indexed="17"/>
      <name val="Arial"/>
      <family val="2"/>
    </font>
    <font>
      <b/>
      <i/>
      <sz val="10"/>
      <color indexed="10"/>
      <name val="Arial"/>
      <family val="2"/>
    </font>
    <font>
      <sz val="8"/>
      <color indexed="23"/>
      <name val="Arial"/>
      <family val="2"/>
    </font>
    <font>
      <b/>
      <sz val="8"/>
      <color indexed="12"/>
      <name val="Arial"/>
      <family val="2"/>
    </font>
    <font>
      <i/>
      <sz val="8"/>
      <color indexed="55"/>
      <name val="Arial"/>
      <family val="2"/>
    </font>
    <font>
      <sz val="10"/>
      <color indexed="63"/>
      <name val="Arial"/>
      <family val="2"/>
    </font>
    <font>
      <sz val="8"/>
      <color indexed="42"/>
      <name val="Arial"/>
      <family val="2"/>
    </font>
    <font>
      <sz val="12"/>
      <name val="Arial"/>
      <family val="2"/>
    </font>
    <font>
      <i/>
      <sz val="8"/>
      <name val="Arial"/>
      <family val="2"/>
    </font>
    <font>
      <b/>
      <sz val="24"/>
      <color indexed="43"/>
      <name val="Arial"/>
      <family val="2"/>
    </font>
    <font>
      <sz val="14"/>
      <name val="Arial"/>
      <family val="2"/>
    </font>
    <font>
      <sz val="1"/>
      <color indexed="9"/>
      <name val="Arial"/>
      <family val="2"/>
    </font>
    <font>
      <b/>
      <i/>
      <sz val="10"/>
      <color rgb="FFFF0000"/>
      <name val="Arial"/>
      <family val="2"/>
    </font>
    <font>
      <b/>
      <i/>
      <sz val="9"/>
      <color indexed="53"/>
      <name val="Arial"/>
      <family val="2"/>
    </font>
    <font>
      <sz val="9"/>
      <color indexed="53"/>
      <name val="Arial"/>
      <family val="2"/>
    </font>
    <font>
      <b/>
      <i/>
      <sz val="9"/>
      <color indexed="9"/>
      <name val="Arial"/>
      <family val="2"/>
    </font>
    <font>
      <sz val="9"/>
      <name val="Arial"/>
      <family val="2"/>
    </font>
    <font>
      <b/>
      <i/>
      <sz val="9"/>
      <color rgb="FFFF0000"/>
      <name val="Arial"/>
      <family val="2"/>
    </font>
    <font>
      <sz val="9"/>
      <color rgb="FFFF0000"/>
      <name val="Arial"/>
      <family val="2"/>
    </font>
    <font>
      <b/>
      <i/>
      <sz val="9"/>
      <color indexed="10"/>
      <name val="Arial"/>
      <family val="2"/>
    </font>
    <font>
      <b/>
      <sz val="8"/>
      <color indexed="52"/>
      <name val="Tahoma"/>
      <family val="2"/>
    </font>
    <font>
      <sz val="8"/>
      <color indexed="22"/>
      <name val="Arial"/>
      <family val="2"/>
    </font>
    <font>
      <i/>
      <sz val="10"/>
      <color rgb="FF969696"/>
      <name val="Arial"/>
      <family val="2"/>
    </font>
    <font>
      <b/>
      <sz val="10"/>
      <color rgb="FF0000FF"/>
      <name val="Arial"/>
      <family val="2"/>
    </font>
    <font>
      <sz val="10"/>
      <color rgb="FF0000FF"/>
      <name val="Arial"/>
      <family val="2"/>
    </font>
    <font>
      <b/>
      <sz val="12"/>
      <color rgb="FF0000FF"/>
      <name val="Arial"/>
      <family val="2"/>
    </font>
    <font>
      <b/>
      <sz val="9"/>
      <color indexed="81"/>
      <name val="Tahoma"/>
      <family val="2"/>
    </font>
    <font>
      <sz val="9"/>
      <color indexed="81"/>
      <name val="Tahoma"/>
      <family val="2"/>
    </font>
    <font>
      <sz val="10"/>
      <color rgb="FFFF0000"/>
      <name val="Arial"/>
      <family val="2"/>
    </font>
  </fonts>
  <fills count="19">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10"/>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9"/>
        <bgColor indexed="64"/>
      </patternFill>
    </fill>
    <fill>
      <patternFill patternType="solid">
        <fgColor indexed="52"/>
        <bgColor indexed="64"/>
      </patternFill>
    </fill>
    <fill>
      <patternFill patternType="solid">
        <fgColor indexed="42"/>
        <bgColor indexed="64"/>
      </patternFill>
    </fill>
    <fill>
      <patternFill patternType="solid">
        <fgColor rgb="FFC0C0C0"/>
        <bgColor indexed="64"/>
      </patternFill>
    </fill>
    <fill>
      <patternFill patternType="solid">
        <fgColor rgb="FFCCFFCC"/>
        <bgColor indexed="64"/>
      </patternFill>
    </fill>
    <fill>
      <patternFill patternType="solid">
        <fgColor rgb="FF4D4D4D"/>
        <bgColor indexed="64"/>
      </patternFill>
    </fill>
    <fill>
      <patternFill patternType="solid">
        <fgColor rgb="FFFFCC99"/>
        <bgColor indexed="64"/>
      </patternFill>
    </fill>
    <fill>
      <patternFill patternType="solid">
        <fgColor rgb="FFFFFFCC"/>
        <bgColor indexed="64"/>
      </patternFill>
    </fill>
  </fills>
  <borders count="145">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64"/>
      </left>
      <right style="thin">
        <color indexed="55"/>
      </right>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style="thin">
        <color indexed="55"/>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64"/>
      </right>
      <top style="thin">
        <color indexed="64"/>
      </top>
      <bottom/>
      <diagonal/>
    </border>
    <border>
      <left style="thin">
        <color indexed="55"/>
      </left>
      <right style="thin">
        <color indexed="64"/>
      </right>
      <top/>
      <bottom style="thin">
        <color indexed="64"/>
      </bottom>
      <diagonal/>
    </border>
    <border>
      <left style="thin">
        <color indexed="55"/>
      </left>
      <right style="thin">
        <color indexed="55"/>
      </right>
      <top/>
      <bottom style="thin">
        <color indexed="64"/>
      </bottom>
      <diagonal/>
    </border>
    <border>
      <left style="thin">
        <color indexed="64"/>
      </left>
      <right style="thin">
        <color indexed="55"/>
      </right>
      <top style="thin">
        <color indexed="64"/>
      </top>
      <bottom style="thin">
        <color indexed="55"/>
      </bottom>
      <diagonal/>
    </border>
    <border>
      <left style="thin">
        <color indexed="64"/>
      </left>
      <right style="thin">
        <color indexed="55"/>
      </right>
      <top style="thin">
        <color indexed="55"/>
      </top>
      <bottom style="thin">
        <color indexed="55"/>
      </bottom>
      <diagonal/>
    </border>
    <border>
      <left style="thin">
        <color indexed="64"/>
      </left>
      <right style="thin">
        <color indexed="55"/>
      </right>
      <top style="thin">
        <color indexed="55"/>
      </top>
      <bottom style="thin">
        <color indexed="64"/>
      </bottom>
      <diagonal/>
    </border>
    <border>
      <left/>
      <right style="thin">
        <color indexed="55"/>
      </right>
      <top/>
      <bottom style="thin">
        <color indexed="64"/>
      </bottom>
      <diagonal/>
    </border>
    <border>
      <left/>
      <right style="thin">
        <color indexed="55"/>
      </right>
      <top/>
      <bottom/>
      <diagonal/>
    </border>
    <border>
      <left style="thin">
        <color indexed="55"/>
      </left>
      <right style="thin">
        <color indexed="55"/>
      </right>
      <top/>
      <bottom/>
      <diagonal/>
    </border>
    <border>
      <left/>
      <right/>
      <top/>
      <bottom style="thin">
        <color indexed="64"/>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9"/>
      </left>
      <right style="thin">
        <color indexed="9"/>
      </right>
      <top/>
      <bottom style="thin">
        <color indexed="9"/>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medium">
        <color indexed="9"/>
      </left>
      <right style="thin">
        <color indexed="9"/>
      </right>
      <top style="medium">
        <color indexed="9"/>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thin">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medium">
        <color indexed="9"/>
      </bottom>
      <diagonal/>
    </border>
    <border>
      <left style="medium">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top/>
      <bottom style="medium">
        <color indexed="9"/>
      </bottom>
      <diagonal/>
    </border>
    <border>
      <left style="thin">
        <color indexed="9"/>
      </left>
      <right style="medium">
        <color indexed="9"/>
      </right>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right style="thin">
        <color indexed="64"/>
      </right>
      <top/>
      <bottom/>
      <diagonal/>
    </border>
    <border>
      <left/>
      <right/>
      <top style="thin">
        <color indexed="55"/>
      </top>
      <bottom/>
      <diagonal/>
    </border>
    <border>
      <left/>
      <right/>
      <top/>
      <bottom style="thin">
        <color indexed="55"/>
      </bottom>
      <diagonal/>
    </border>
    <border>
      <left style="thin">
        <color indexed="9"/>
      </left>
      <right style="medium">
        <color indexed="9"/>
      </right>
      <top style="medium">
        <color indexed="9"/>
      </top>
      <bottom style="thin">
        <color indexed="9"/>
      </bottom>
      <diagonal/>
    </border>
    <border>
      <left style="medium">
        <color indexed="9"/>
      </left>
      <right style="thin">
        <color indexed="9"/>
      </right>
      <top style="medium">
        <color indexed="9"/>
      </top>
      <bottom style="medium">
        <color indexed="55"/>
      </bottom>
      <diagonal/>
    </border>
    <border>
      <left style="thin">
        <color indexed="9"/>
      </left>
      <right style="thin">
        <color indexed="9"/>
      </right>
      <top style="medium">
        <color indexed="9"/>
      </top>
      <bottom style="medium">
        <color indexed="55"/>
      </bottom>
      <diagonal/>
    </border>
    <border>
      <left style="thin">
        <color indexed="9"/>
      </left>
      <right style="medium">
        <color indexed="9"/>
      </right>
      <top style="medium">
        <color indexed="9"/>
      </top>
      <bottom style="medium">
        <color indexed="55"/>
      </bottom>
      <diagonal/>
    </border>
    <border>
      <left style="medium">
        <color indexed="9"/>
      </left>
      <right style="medium">
        <color indexed="9"/>
      </right>
      <top/>
      <bottom style="thin">
        <color indexed="9"/>
      </bottom>
      <diagonal/>
    </border>
    <border>
      <left style="medium">
        <color indexed="9"/>
      </left>
      <right style="medium">
        <color indexed="9"/>
      </right>
      <top/>
      <bottom style="medium">
        <color indexed="9"/>
      </bottom>
      <diagonal/>
    </border>
    <border>
      <left style="medium">
        <color indexed="9"/>
      </left>
      <right style="medium">
        <color indexed="9"/>
      </right>
      <top style="thin">
        <color indexed="9"/>
      </top>
      <bottom style="thin">
        <color indexed="9"/>
      </bottom>
      <diagonal/>
    </border>
    <border>
      <left style="medium">
        <color indexed="9"/>
      </left>
      <right style="medium">
        <color indexed="9"/>
      </right>
      <top style="thin">
        <color indexed="9"/>
      </top>
      <bottom style="medium">
        <color indexed="9"/>
      </bottom>
      <diagonal/>
    </border>
    <border>
      <left/>
      <right style="thin">
        <color indexed="9"/>
      </right>
      <top style="medium">
        <color indexed="9"/>
      </top>
      <bottom style="medium">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style="thin">
        <color indexed="9"/>
      </right>
      <top/>
      <bottom style="medium">
        <color indexed="9"/>
      </bottom>
      <diagonal/>
    </border>
    <border>
      <left style="medium">
        <color indexed="55"/>
      </left>
      <right style="medium">
        <color indexed="55"/>
      </right>
      <top style="medium">
        <color indexed="55"/>
      </top>
      <bottom style="medium">
        <color indexed="55"/>
      </bottom>
      <diagonal/>
    </border>
    <border>
      <left style="thick">
        <color indexed="9"/>
      </left>
      <right style="thick">
        <color indexed="9"/>
      </right>
      <top style="thick">
        <color indexed="9"/>
      </top>
      <bottom style="thick">
        <color indexed="9"/>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22"/>
      </left>
      <right style="thin">
        <color indexed="64"/>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64"/>
      </top>
      <bottom style="thin">
        <color indexed="55"/>
      </bottom>
      <diagonal/>
    </border>
    <border>
      <left/>
      <right style="thin">
        <color indexed="64"/>
      </right>
      <top/>
      <bottom style="thin">
        <color indexed="64"/>
      </bottom>
      <diagonal/>
    </border>
    <border>
      <left/>
      <right style="thin">
        <color indexed="64"/>
      </right>
      <top style="thin">
        <color indexed="64"/>
      </top>
      <bottom style="thin">
        <color indexed="55"/>
      </bottom>
      <diagonal/>
    </border>
    <border>
      <left/>
      <right style="thin">
        <color indexed="64"/>
      </right>
      <top style="thin">
        <color indexed="55"/>
      </top>
      <bottom style="thin">
        <color indexed="55"/>
      </bottom>
      <diagonal/>
    </border>
    <border>
      <left/>
      <right style="thin">
        <color indexed="64"/>
      </right>
      <top style="thin">
        <color indexed="55"/>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55"/>
      </top>
      <bottom style="thin">
        <color indexed="55"/>
      </bottom>
      <diagonal/>
    </border>
    <border>
      <left style="thin">
        <color indexed="55"/>
      </left>
      <right style="thin">
        <color indexed="64"/>
      </right>
      <top/>
      <bottom/>
      <diagonal/>
    </border>
    <border>
      <left style="medium">
        <color indexed="9"/>
      </left>
      <right style="medium">
        <color indexed="9"/>
      </right>
      <top style="medium">
        <color indexed="9"/>
      </top>
      <bottom style="thin">
        <color indexed="9"/>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style="thin">
        <color indexed="22"/>
      </right>
      <top style="thin">
        <color indexed="64"/>
      </top>
      <bottom style="thin">
        <color indexed="22"/>
      </bottom>
      <diagonal/>
    </border>
    <border>
      <left style="thin">
        <color indexed="64"/>
      </left>
      <right style="thin">
        <color indexed="22"/>
      </right>
      <top style="thin">
        <color indexed="22"/>
      </top>
      <bottom style="thin">
        <color indexed="64"/>
      </bottom>
      <diagonal/>
    </border>
    <border>
      <left style="thin">
        <color indexed="64"/>
      </left>
      <right style="thin">
        <color indexed="22"/>
      </right>
      <top/>
      <bottom style="thin">
        <color indexed="22"/>
      </bottom>
      <diagonal/>
    </border>
    <border>
      <left style="thin">
        <color indexed="55"/>
      </left>
      <right/>
      <top style="thin">
        <color indexed="64"/>
      </top>
      <bottom style="thin">
        <color indexed="55"/>
      </bottom>
      <diagonal/>
    </border>
    <border>
      <left style="thin">
        <color indexed="64"/>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64"/>
      </top>
      <bottom style="thin">
        <color indexed="55"/>
      </bottom>
      <diagonal/>
    </border>
    <border>
      <left style="thin">
        <color indexed="64"/>
      </left>
      <right style="thin">
        <color indexed="64"/>
      </right>
      <top style="thin">
        <color indexed="64"/>
      </top>
      <bottom style="thin">
        <color indexed="55"/>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bottom style="thin">
        <color indexed="64"/>
      </bottom>
      <diagonal/>
    </border>
    <border>
      <left/>
      <right style="medium">
        <color auto="1"/>
      </right>
      <top style="thin">
        <color indexed="64"/>
      </top>
      <bottom style="thin">
        <color indexed="64"/>
      </bottom>
      <diagonal/>
    </border>
    <border>
      <left style="medium">
        <color auto="1"/>
      </left>
      <right/>
      <top style="thin">
        <color indexed="64"/>
      </top>
      <bottom style="thin">
        <color auto="1"/>
      </bottom>
      <diagonal/>
    </border>
    <border>
      <left/>
      <right style="thin">
        <color indexed="55"/>
      </right>
      <top style="thin">
        <color indexed="64"/>
      </top>
      <bottom style="thin">
        <color auto="1"/>
      </bottom>
      <diagonal/>
    </border>
    <border>
      <left style="thin">
        <color indexed="55"/>
      </left>
      <right style="medium">
        <color auto="1"/>
      </right>
      <top style="thin">
        <color indexed="64"/>
      </top>
      <bottom style="thin">
        <color auto="1"/>
      </bottom>
      <diagonal/>
    </border>
    <border>
      <left style="medium">
        <color auto="1"/>
      </left>
      <right/>
      <top/>
      <bottom/>
      <diagonal/>
    </border>
    <border>
      <left style="thin">
        <color indexed="55"/>
      </left>
      <right style="medium">
        <color auto="1"/>
      </right>
      <top style="thin">
        <color indexed="64"/>
      </top>
      <bottom style="thin">
        <color indexed="55"/>
      </bottom>
      <diagonal/>
    </border>
    <border>
      <left style="thin">
        <color indexed="55"/>
      </left>
      <right style="medium">
        <color auto="1"/>
      </right>
      <top style="thin">
        <color indexed="55"/>
      </top>
      <bottom style="thin">
        <color indexed="55"/>
      </bottom>
      <diagonal/>
    </border>
    <border>
      <left style="medium">
        <color auto="1"/>
      </left>
      <right/>
      <top/>
      <bottom style="medium">
        <color auto="1"/>
      </bottom>
      <diagonal/>
    </border>
    <border>
      <left/>
      <right style="thin">
        <color indexed="55"/>
      </right>
      <top/>
      <bottom style="medium">
        <color auto="1"/>
      </bottom>
      <diagonal/>
    </border>
    <border>
      <left style="thin">
        <color indexed="55"/>
      </left>
      <right/>
      <top style="thin">
        <color indexed="55"/>
      </top>
      <bottom style="medium">
        <color auto="1"/>
      </bottom>
      <diagonal/>
    </border>
    <border>
      <left/>
      <right style="thin">
        <color indexed="64"/>
      </right>
      <top style="thin">
        <color indexed="55"/>
      </top>
      <bottom style="medium">
        <color auto="1"/>
      </bottom>
      <diagonal/>
    </border>
    <border>
      <left style="thin">
        <color indexed="64"/>
      </left>
      <right style="thin">
        <color indexed="55"/>
      </right>
      <top style="thin">
        <color indexed="55"/>
      </top>
      <bottom style="medium">
        <color auto="1"/>
      </bottom>
      <diagonal/>
    </border>
    <border>
      <left style="thin">
        <color indexed="55"/>
      </left>
      <right style="thin">
        <color indexed="64"/>
      </right>
      <top style="thin">
        <color indexed="55"/>
      </top>
      <bottom style="medium">
        <color auto="1"/>
      </bottom>
      <diagonal/>
    </border>
    <border>
      <left style="thin">
        <color indexed="55"/>
      </left>
      <right style="thin">
        <color indexed="55"/>
      </right>
      <top style="thin">
        <color indexed="55"/>
      </top>
      <bottom style="medium">
        <color auto="1"/>
      </bottom>
      <diagonal/>
    </border>
    <border>
      <left/>
      <right style="thin">
        <color indexed="55"/>
      </right>
      <top style="thin">
        <color indexed="55"/>
      </top>
      <bottom style="medium">
        <color auto="1"/>
      </bottom>
      <diagonal/>
    </border>
    <border>
      <left style="thin">
        <color indexed="64"/>
      </left>
      <right style="thin">
        <color indexed="64"/>
      </right>
      <top style="thin">
        <color indexed="55"/>
      </top>
      <bottom style="medium">
        <color auto="1"/>
      </bottom>
      <diagonal/>
    </border>
    <border>
      <left style="thin">
        <color indexed="55"/>
      </left>
      <right style="medium">
        <color auto="1"/>
      </right>
      <top style="thin">
        <color indexed="55"/>
      </top>
      <bottom style="medium">
        <color auto="1"/>
      </bottom>
      <diagonal/>
    </border>
    <border>
      <left/>
      <right/>
      <top style="medium">
        <color auto="1"/>
      </top>
      <bottom/>
      <diagonal/>
    </border>
    <border>
      <left style="medium">
        <color indexed="55"/>
      </left>
      <right/>
      <top/>
      <bottom/>
      <diagonal/>
    </border>
    <border>
      <left/>
      <right/>
      <top style="thin">
        <color rgb="FFFFFF99"/>
      </top>
      <bottom/>
      <diagonal/>
    </border>
    <border>
      <left style="medium">
        <color indexed="55"/>
      </left>
      <right style="thin">
        <color indexed="55"/>
      </right>
      <top/>
      <bottom style="medium">
        <color indexed="55"/>
      </bottom>
      <diagonal/>
    </border>
    <border>
      <left style="thin">
        <color indexed="55"/>
      </left>
      <right style="thin">
        <color indexed="55"/>
      </right>
      <top/>
      <bottom style="medium">
        <color indexed="55"/>
      </bottom>
      <diagonal/>
    </border>
    <border>
      <left style="thin">
        <color indexed="55"/>
      </left>
      <right style="medium">
        <color indexed="55"/>
      </right>
      <top/>
      <bottom style="medium">
        <color indexed="55"/>
      </bottom>
      <diagonal/>
    </border>
    <border>
      <left style="medium">
        <color indexed="55"/>
      </left>
      <right/>
      <top/>
      <bottom style="thick">
        <color rgb="FFFF0000"/>
      </bottom>
      <diagonal/>
    </border>
    <border>
      <left style="medium">
        <color indexed="55"/>
      </left>
      <right style="thin">
        <color indexed="55"/>
      </right>
      <top/>
      <bottom style="thick">
        <color rgb="FFFF0000"/>
      </bottom>
      <diagonal/>
    </border>
    <border>
      <left style="thin">
        <color indexed="55"/>
      </left>
      <right style="thin">
        <color indexed="55"/>
      </right>
      <top/>
      <bottom style="thick">
        <color rgb="FFFF0000"/>
      </bottom>
      <diagonal/>
    </border>
    <border>
      <left/>
      <right style="medium">
        <color indexed="55"/>
      </right>
      <top/>
      <bottom style="thick">
        <color rgb="FFFF0000"/>
      </bottom>
      <diagonal/>
    </border>
    <border>
      <left/>
      <right/>
      <top/>
      <bottom style="thick">
        <color rgb="FFFF0000"/>
      </bottom>
      <diagonal/>
    </border>
    <border>
      <left style="medium">
        <color indexed="55"/>
      </left>
      <right style="thin">
        <color indexed="55"/>
      </right>
      <top style="medium">
        <color indexed="55"/>
      </top>
      <bottom style="thick">
        <color rgb="FFFF0000"/>
      </bottom>
      <diagonal/>
    </border>
    <border>
      <left style="thin">
        <color indexed="55"/>
      </left>
      <right style="thin">
        <color indexed="55"/>
      </right>
      <top style="medium">
        <color indexed="55"/>
      </top>
      <bottom style="thick">
        <color rgb="FFFF0000"/>
      </bottom>
      <diagonal/>
    </border>
    <border>
      <left style="thin">
        <color indexed="55"/>
      </left>
      <right style="medium">
        <color indexed="55"/>
      </right>
      <top style="medium">
        <color indexed="55"/>
      </top>
      <bottom style="thick">
        <color rgb="FFFF0000"/>
      </bottom>
      <diagonal/>
    </border>
    <border>
      <left style="medium">
        <color rgb="FF969696"/>
      </left>
      <right/>
      <top style="medium">
        <color rgb="FF969696"/>
      </top>
      <bottom style="medium">
        <color rgb="FF969696"/>
      </bottom>
      <diagonal/>
    </border>
    <border>
      <left/>
      <right/>
      <top style="medium">
        <color rgb="FF969696"/>
      </top>
      <bottom style="medium">
        <color rgb="FF969696"/>
      </bottom>
      <diagonal/>
    </border>
    <border>
      <left/>
      <right style="medium">
        <color rgb="FF969696"/>
      </right>
      <top style="medium">
        <color rgb="FF969696"/>
      </top>
      <bottom style="medium">
        <color rgb="FF969696"/>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55"/>
      </left>
      <right/>
      <top style="thin">
        <color indexed="64"/>
      </top>
      <bottom style="thin">
        <color indexed="55"/>
      </bottom>
      <diagonal/>
    </border>
    <border>
      <left/>
      <right style="thin">
        <color indexed="64"/>
      </right>
      <top style="thin">
        <color indexed="64"/>
      </top>
      <bottom style="thin">
        <color indexed="55"/>
      </bottom>
      <diagonal/>
    </border>
  </borders>
  <cellStyleXfs count="4">
    <xf numFmtId="0" fontId="0" fillId="0" borderId="0"/>
    <xf numFmtId="9" fontId="1" fillId="0" borderId="0" applyFont="0" applyFill="0" applyBorder="0" applyAlignment="0" applyProtection="0"/>
    <xf numFmtId="0" fontId="36" fillId="0" borderId="0"/>
    <xf numFmtId="9" fontId="36" fillId="0" borderId="0" applyFont="0" applyFill="0" applyBorder="0" applyAlignment="0" applyProtection="0"/>
  </cellStyleXfs>
  <cellXfs count="658">
    <xf numFmtId="0" fontId="0" fillId="0" borderId="0" xfId="0"/>
    <xf numFmtId="0" fontId="3" fillId="0" borderId="0" xfId="0" applyFont="1"/>
    <xf numFmtId="0" fontId="4" fillId="0" borderId="0" xfId="0" applyFont="1"/>
    <xf numFmtId="0" fontId="8" fillId="0" borderId="0" xfId="0" applyFont="1"/>
    <xf numFmtId="0" fontId="7" fillId="0" borderId="0" xfId="0" applyFont="1"/>
    <xf numFmtId="0" fontId="18" fillId="0" borderId="1" xfId="0" applyFont="1" applyBorder="1" applyAlignment="1">
      <alignment horizontal="centerContinuous"/>
    </xf>
    <xf numFmtId="0" fontId="0" fillId="0" borderId="1" xfId="0" applyBorder="1" applyAlignment="1">
      <alignment horizontal="centerContinuous"/>
    </xf>
    <xf numFmtId="0" fontId="9" fillId="0" borderId="2" xfId="0" applyFont="1" applyBorder="1" applyAlignment="1">
      <alignment horizontal="centerContinuous"/>
    </xf>
    <xf numFmtId="0" fontId="0" fillId="0" borderId="3" xfId="0" applyBorder="1" applyAlignment="1">
      <alignment horizontal="centerContinuous"/>
    </xf>
    <xf numFmtId="0" fontId="0" fillId="0" borderId="4" xfId="0" applyBorder="1" applyAlignment="1">
      <alignment horizontal="centerContinuous"/>
    </xf>
    <xf numFmtId="0" fontId="0" fillId="2" borderId="0" xfId="0" applyFill="1"/>
    <xf numFmtId="0" fontId="0" fillId="0" borderId="0" xfId="0" applyFill="1"/>
    <xf numFmtId="0" fontId="0" fillId="3" borderId="0" xfId="0" applyFill="1"/>
    <xf numFmtId="0" fontId="9" fillId="0" borderId="5" xfId="0" applyFont="1" applyBorder="1" applyAlignment="1">
      <alignment horizontal="center" wrapText="1"/>
    </xf>
    <xf numFmtId="0" fontId="7" fillId="0" borderId="5" xfId="0" applyFont="1" applyBorder="1" applyAlignment="1">
      <alignment horizontal="center"/>
    </xf>
    <xf numFmtId="0" fontId="0" fillId="0" borderId="6" xfId="0" applyBorder="1"/>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0" fillId="0" borderId="10" xfId="0" applyBorder="1"/>
    <xf numFmtId="0" fontId="7" fillId="0" borderId="11" xfId="0" applyFont="1" applyBorder="1" applyAlignment="1">
      <alignment horizontal="left" indent="1"/>
    </xf>
    <xf numFmtId="0" fontId="7" fillId="0" borderId="12" xfId="0" applyFont="1" applyBorder="1" applyAlignment="1">
      <alignment horizontal="left" indent="1"/>
    </xf>
    <xf numFmtId="0" fontId="7" fillId="0" borderId="13" xfId="0" applyFont="1" applyBorder="1" applyAlignment="1">
      <alignment horizontal="left" indent="1"/>
    </xf>
    <xf numFmtId="0" fontId="7" fillId="0" borderId="2" xfId="0" applyFont="1" applyBorder="1" applyAlignment="1">
      <alignment horizontal="centerContinuous"/>
    </xf>
    <xf numFmtId="171" fontId="0" fillId="4" borderId="14" xfId="0" applyNumberFormat="1" applyFill="1" applyBorder="1"/>
    <xf numFmtId="171" fontId="0" fillId="4" borderId="15" xfId="0" applyNumberFormat="1" applyFill="1" applyBorder="1"/>
    <xf numFmtId="171" fontId="0" fillId="4" borderId="11" xfId="0" applyNumberFormat="1" applyFill="1" applyBorder="1"/>
    <xf numFmtId="171" fontId="0" fillId="4" borderId="16" xfId="0" applyNumberFormat="1" applyFill="1" applyBorder="1"/>
    <xf numFmtId="171" fontId="0" fillId="4" borderId="17" xfId="0" applyNumberFormat="1" applyFill="1" applyBorder="1"/>
    <xf numFmtId="171" fontId="0" fillId="4" borderId="12" xfId="0" applyNumberFormat="1" applyFill="1" applyBorder="1"/>
    <xf numFmtId="171" fontId="0" fillId="4" borderId="18" xfId="0" applyNumberFormat="1" applyFill="1" applyBorder="1"/>
    <xf numFmtId="171" fontId="0" fillId="4" borderId="19" xfId="0" applyNumberFormat="1" applyFill="1" applyBorder="1"/>
    <xf numFmtId="171" fontId="0" fillId="4" borderId="13" xfId="0" applyNumberFormat="1" applyFill="1" applyBorder="1"/>
    <xf numFmtId="0" fontId="0" fillId="0" borderId="4" xfId="0" applyBorder="1"/>
    <xf numFmtId="0" fontId="12" fillId="0" borderId="2" xfId="0" applyFont="1" applyBorder="1" applyAlignment="1">
      <alignment horizontal="left" indent="1"/>
    </xf>
    <xf numFmtId="0" fontId="0" fillId="0" borderId="3" xfId="0" applyBorder="1"/>
    <xf numFmtId="0" fontId="9" fillId="0" borderId="20" xfId="0" applyFont="1" applyBorder="1" applyAlignment="1">
      <alignment horizontal="center"/>
    </xf>
    <xf numFmtId="0" fontId="2" fillId="0" borderId="6" xfId="0" applyFont="1" applyBorder="1" applyAlignment="1">
      <alignment horizontal="center" vertical="top"/>
    </xf>
    <xf numFmtId="0" fontId="2" fillId="0" borderId="21" xfId="0" applyFont="1" applyBorder="1" applyAlignment="1">
      <alignment horizontal="center" vertical="top" wrapText="1"/>
    </xf>
    <xf numFmtId="0" fontId="7" fillId="0" borderId="2" xfId="0" applyFont="1" applyBorder="1"/>
    <xf numFmtId="0" fontId="9" fillId="0" borderId="6" xfId="0" applyFont="1" applyFill="1" applyBorder="1" applyAlignment="1">
      <alignment horizontal="center" vertical="top" wrapText="1"/>
    </xf>
    <xf numFmtId="0" fontId="9" fillId="0" borderId="22" xfId="0" applyFont="1" applyFill="1" applyBorder="1" applyAlignment="1">
      <alignment horizontal="center" vertical="top" wrapText="1"/>
    </xf>
    <xf numFmtId="0" fontId="9" fillId="0" borderId="21" xfId="0" applyFont="1" applyFill="1" applyBorder="1" applyAlignment="1">
      <alignment horizontal="center" vertical="top" wrapText="1"/>
    </xf>
    <xf numFmtId="164" fontId="7" fillId="0" borderId="11" xfId="0" applyNumberFormat="1" applyFont="1" applyBorder="1" applyAlignment="1">
      <alignment horizontal="center"/>
    </xf>
    <xf numFmtId="164" fontId="7" fillId="0" borderId="12" xfId="0" applyNumberFormat="1" applyFont="1" applyBorder="1" applyAlignment="1">
      <alignment horizontal="center"/>
    </xf>
    <xf numFmtId="164" fontId="7" fillId="0" borderId="13" xfId="0" applyNumberFormat="1" applyFont="1" applyBorder="1" applyAlignment="1">
      <alignment horizontal="center"/>
    </xf>
    <xf numFmtId="0" fontId="4" fillId="0" borderId="3" xfId="0" applyFont="1" applyBorder="1"/>
    <xf numFmtId="0" fontId="4" fillId="0" borderId="4" xfId="0" applyFont="1" applyBorder="1" applyAlignment="1">
      <alignment horizontal="right"/>
    </xf>
    <xf numFmtId="164" fontId="7" fillId="5" borderId="11" xfId="0" applyNumberFormat="1" applyFont="1" applyFill="1" applyBorder="1" applyAlignment="1">
      <alignment horizontal="center"/>
    </xf>
    <xf numFmtId="164" fontId="7" fillId="5" borderId="12" xfId="0" applyNumberFormat="1" applyFont="1" applyFill="1" applyBorder="1" applyAlignment="1">
      <alignment horizontal="center"/>
    </xf>
    <xf numFmtId="164" fontId="7" fillId="5" borderId="13" xfId="0" applyNumberFormat="1" applyFont="1" applyFill="1" applyBorder="1" applyAlignment="1">
      <alignment horizontal="center"/>
    </xf>
    <xf numFmtId="165" fontId="0" fillId="4" borderId="23" xfId="0" applyNumberFormat="1" applyFill="1" applyBorder="1"/>
    <xf numFmtId="165" fontId="0" fillId="4" borderId="15" xfId="0" applyNumberFormat="1" applyFill="1" applyBorder="1"/>
    <xf numFmtId="165" fontId="0" fillId="4" borderId="11" xfId="0" applyNumberFormat="1" applyFill="1" applyBorder="1"/>
    <xf numFmtId="165" fontId="0" fillId="4" borderId="24" xfId="0" applyNumberFormat="1" applyFill="1" applyBorder="1"/>
    <xf numFmtId="165" fontId="0" fillId="4" borderId="17" xfId="0" applyNumberFormat="1" applyFill="1" applyBorder="1"/>
    <xf numFmtId="165" fontId="0" fillId="4" borderId="12" xfId="0" applyNumberFormat="1" applyFill="1" applyBorder="1"/>
    <xf numFmtId="165" fontId="0" fillId="4" borderId="25" xfId="0" applyNumberFormat="1" applyFill="1" applyBorder="1"/>
    <xf numFmtId="165" fontId="0" fillId="4" borderId="19" xfId="0" applyNumberFormat="1" applyFill="1" applyBorder="1"/>
    <xf numFmtId="165" fontId="0" fillId="4" borderId="13" xfId="0" applyNumberFormat="1" applyFill="1" applyBorder="1"/>
    <xf numFmtId="0" fontId="10" fillId="0" borderId="5" xfId="0" applyFont="1" applyBorder="1" applyAlignment="1">
      <alignment horizontal="center"/>
    </xf>
    <xf numFmtId="0" fontId="9" fillId="5" borderId="26" xfId="0" applyFont="1" applyFill="1" applyBorder="1" applyAlignment="1">
      <alignment horizontal="center" vertical="top" wrapText="1"/>
    </xf>
    <xf numFmtId="0" fontId="9" fillId="5" borderId="22" xfId="0" applyFont="1" applyFill="1" applyBorder="1" applyAlignment="1">
      <alignment horizontal="center" vertical="top" wrapText="1"/>
    </xf>
    <xf numFmtId="0" fontId="9" fillId="5" borderId="21" xfId="0" applyFont="1" applyFill="1" applyBorder="1" applyAlignment="1">
      <alignment horizontal="center" vertical="top" wrapText="1"/>
    </xf>
    <xf numFmtId="0" fontId="9" fillId="4" borderId="27" xfId="0" applyFont="1" applyFill="1" applyBorder="1" applyAlignment="1">
      <alignment horizontal="center" vertical="top" wrapText="1"/>
    </xf>
    <xf numFmtId="0" fontId="9" fillId="4" borderId="28" xfId="0" applyFont="1" applyFill="1" applyBorder="1" applyAlignment="1">
      <alignment horizontal="center" vertical="top" wrapText="1"/>
    </xf>
    <xf numFmtId="0" fontId="4" fillId="2" borderId="0" xfId="0" applyFont="1" applyFill="1"/>
    <xf numFmtId="0" fontId="7" fillId="2" borderId="0" xfId="0" applyFont="1" applyFill="1"/>
    <xf numFmtId="0" fontId="9" fillId="2" borderId="29" xfId="0" applyFont="1" applyFill="1" applyBorder="1" applyAlignment="1">
      <alignment horizontal="center"/>
    </xf>
    <xf numFmtId="0" fontId="2" fillId="2" borderId="0" xfId="0" applyFont="1" applyFill="1" applyAlignment="1">
      <alignment horizontal="right" vertical="top" indent="1"/>
    </xf>
    <xf numFmtId="0" fontId="11" fillId="4" borderId="0" xfId="0" applyFont="1" applyFill="1"/>
    <xf numFmtId="0" fontId="11" fillId="2" borderId="0" xfId="0" applyFont="1" applyFill="1" applyAlignment="1">
      <alignment horizontal="center"/>
    </xf>
    <xf numFmtId="0" fontId="7" fillId="2" borderId="1" xfId="0" applyFont="1" applyFill="1" applyBorder="1"/>
    <xf numFmtId="0" fontId="0" fillId="2" borderId="1" xfId="0" applyFill="1" applyBorder="1"/>
    <xf numFmtId="0" fontId="7" fillId="2" borderId="1" xfId="0" applyFont="1" applyFill="1" applyBorder="1" applyAlignment="1">
      <alignment vertical="top"/>
    </xf>
    <xf numFmtId="0" fontId="25" fillId="2" borderId="0" xfId="0" applyFont="1" applyFill="1" applyAlignment="1">
      <alignment horizontal="center"/>
    </xf>
    <xf numFmtId="0" fontId="4" fillId="2" borderId="0" xfId="0" applyFont="1" applyFill="1" applyAlignment="1">
      <alignment horizontal="left"/>
    </xf>
    <xf numFmtId="165" fontId="11" fillId="4" borderId="23" xfId="0" applyNumberFormat="1" applyFont="1" applyFill="1" applyBorder="1"/>
    <xf numFmtId="165" fontId="11" fillId="4" borderId="15" xfId="0" applyNumberFormat="1" applyFont="1" applyFill="1" applyBorder="1"/>
    <xf numFmtId="165" fontId="11" fillId="4" borderId="11" xfId="0" applyNumberFormat="1" applyFont="1" applyFill="1" applyBorder="1"/>
    <xf numFmtId="165" fontId="11" fillId="4" borderId="24" xfId="0" applyNumberFormat="1" applyFont="1" applyFill="1" applyBorder="1"/>
    <xf numFmtId="165" fontId="11" fillId="4" borderId="17" xfId="0" applyNumberFormat="1" applyFont="1" applyFill="1" applyBorder="1"/>
    <xf numFmtId="165" fontId="11" fillId="4" borderId="12" xfId="0" applyNumberFormat="1" applyFont="1" applyFill="1" applyBorder="1"/>
    <xf numFmtId="165" fontId="11" fillId="4" borderId="25" xfId="0" applyNumberFormat="1" applyFont="1" applyFill="1" applyBorder="1"/>
    <xf numFmtId="165" fontId="11" fillId="4" borderId="19" xfId="0" applyNumberFormat="1" applyFont="1" applyFill="1" applyBorder="1"/>
    <xf numFmtId="165" fontId="11" fillId="4" borderId="13" xfId="0" applyNumberFormat="1" applyFont="1" applyFill="1" applyBorder="1"/>
    <xf numFmtId="0" fontId="26" fillId="2" borderId="0" xfId="0" applyFont="1" applyFill="1"/>
    <xf numFmtId="0" fontId="3" fillId="2" borderId="0" xfId="0" applyFont="1" applyFill="1"/>
    <xf numFmtId="174" fontId="25" fillId="2" borderId="0" xfId="0" applyNumberFormat="1" applyFont="1" applyFill="1" applyAlignment="1">
      <alignment horizontal="center"/>
    </xf>
    <xf numFmtId="0" fontId="21" fillId="4" borderId="0" xfId="0" applyFont="1" applyFill="1" applyAlignment="1">
      <alignment horizontal="center"/>
    </xf>
    <xf numFmtId="174" fontId="21" fillId="2" borderId="0" xfId="0" applyNumberFormat="1" applyFont="1" applyFill="1" applyAlignment="1">
      <alignment horizontal="center"/>
    </xf>
    <xf numFmtId="0" fontId="0" fillId="2" borderId="29" xfId="0" applyFill="1" applyBorder="1" applyAlignment="1">
      <alignment horizontal="centerContinuous"/>
    </xf>
    <xf numFmtId="0" fontId="9" fillId="2" borderId="29" xfId="0" applyFont="1" applyFill="1" applyBorder="1" applyAlignment="1">
      <alignment horizontal="centerContinuous"/>
    </xf>
    <xf numFmtId="0" fontId="0" fillId="6" borderId="0" xfId="0" applyFill="1"/>
    <xf numFmtId="0" fontId="0" fillId="7" borderId="0" xfId="0" applyFill="1"/>
    <xf numFmtId="0" fontId="6" fillId="2" borderId="0" xfId="0" applyFont="1" applyFill="1"/>
    <xf numFmtId="0" fontId="6" fillId="2" borderId="0" xfId="0" applyFont="1" applyFill="1" applyAlignment="1">
      <alignment horizontal="right"/>
    </xf>
    <xf numFmtId="0" fontId="21" fillId="5" borderId="0" xfId="0" applyFont="1" applyFill="1" applyAlignment="1">
      <alignment horizontal="center"/>
    </xf>
    <xf numFmtId="0" fontId="0" fillId="2" borderId="0" xfId="0" applyFill="1" applyBorder="1"/>
    <xf numFmtId="0" fontId="21" fillId="2" borderId="0" xfId="0" applyFont="1" applyFill="1" applyAlignment="1">
      <alignment horizontal="center"/>
    </xf>
    <xf numFmtId="0" fontId="11" fillId="2" borderId="0" xfId="0" applyFont="1" applyFill="1"/>
    <xf numFmtId="0" fontId="6" fillId="0" borderId="0" xfId="0" applyFont="1"/>
    <xf numFmtId="0" fontId="7" fillId="0" borderId="6" xfId="0" applyFont="1" applyBorder="1" applyAlignment="1">
      <alignment horizontal="left" indent="1"/>
    </xf>
    <xf numFmtId="0" fontId="12" fillId="2" borderId="0" xfId="0" applyFont="1" applyFill="1"/>
    <xf numFmtId="0" fontId="36" fillId="2" borderId="0" xfId="0" applyFont="1" applyFill="1"/>
    <xf numFmtId="0" fontId="0" fillId="2" borderId="0" xfId="0" applyFill="1" applyBorder="1" applyAlignment="1">
      <alignment horizontal="centerContinuous"/>
    </xf>
    <xf numFmtId="0" fontId="8" fillId="2" borderId="0" xfId="0" applyFont="1" applyFill="1"/>
    <xf numFmtId="0" fontId="9" fillId="2" borderId="0" xfId="0" applyFont="1" applyFill="1" applyAlignment="1">
      <alignment horizontal="center"/>
    </xf>
    <xf numFmtId="0" fontId="0" fillId="0" borderId="0" xfId="0" applyFill="1" applyProtection="1"/>
    <xf numFmtId="9" fontId="11" fillId="2" borderId="0" xfId="1" applyFont="1" applyFill="1" applyAlignment="1">
      <alignment horizontal="center"/>
    </xf>
    <xf numFmtId="0" fontId="0" fillId="0" borderId="0" xfId="0" applyAlignment="1">
      <alignment wrapText="1"/>
    </xf>
    <xf numFmtId="0" fontId="9" fillId="0" borderId="29" xfId="0" applyFont="1" applyBorder="1" applyAlignment="1">
      <alignment horizontal="center" wrapText="1"/>
    </xf>
    <xf numFmtId="0" fontId="9" fillId="0" borderId="29" xfId="0" applyFont="1" applyBorder="1" applyAlignment="1">
      <alignment horizontal="center"/>
    </xf>
    <xf numFmtId="0" fontId="0" fillId="5" borderId="0" xfId="0" applyFill="1" applyAlignment="1">
      <alignment horizontal="right" indent="1"/>
    </xf>
    <xf numFmtId="0" fontId="1" fillId="4" borderId="0" xfId="0" applyFont="1" applyFill="1" applyAlignment="1">
      <alignment horizontal="right" indent="1"/>
    </xf>
    <xf numFmtId="176" fontId="11" fillId="0" borderId="0" xfId="0" applyNumberFormat="1" applyFont="1" applyAlignment="1">
      <alignment vertical="top"/>
    </xf>
    <xf numFmtId="0" fontId="18" fillId="0" borderId="1" xfId="0" applyFont="1" applyBorder="1"/>
    <xf numFmtId="0" fontId="0" fillId="0" borderId="1" xfId="0" applyBorder="1"/>
    <xf numFmtId="0" fontId="0" fillId="0" borderId="29" xfId="0" applyBorder="1"/>
    <xf numFmtId="170" fontId="1" fillId="2" borderId="13" xfId="0" applyNumberFormat="1" applyFont="1" applyFill="1" applyBorder="1"/>
    <xf numFmtId="0" fontId="16" fillId="2" borderId="0" xfId="0" applyFont="1" applyFill="1"/>
    <xf numFmtId="0" fontId="40" fillId="0" borderId="0" xfId="0" applyFont="1" applyAlignment="1">
      <alignment horizontal="left" indent="4"/>
    </xf>
    <xf numFmtId="0" fontId="44" fillId="0" borderId="0" xfId="0" applyFont="1" applyFill="1"/>
    <xf numFmtId="0" fontId="0" fillId="0" borderId="0" xfId="0" applyFill="1" applyBorder="1"/>
    <xf numFmtId="0" fontId="15" fillId="0" borderId="0" xfId="0" applyFont="1" applyFill="1"/>
    <xf numFmtId="0" fontId="46" fillId="2" borderId="0" xfId="0" applyFont="1" applyFill="1"/>
    <xf numFmtId="0" fontId="46" fillId="2" borderId="0" xfId="0" applyFont="1" applyFill="1" applyAlignment="1">
      <alignment horizontal="right"/>
    </xf>
    <xf numFmtId="0" fontId="46" fillId="2" borderId="0" xfId="0" applyFont="1" applyFill="1" applyAlignment="1">
      <alignment horizontal="left"/>
    </xf>
    <xf numFmtId="0" fontId="11" fillId="4" borderId="0" xfId="0" applyFont="1" applyFill="1" applyAlignment="1">
      <alignment horizontal="center"/>
    </xf>
    <xf numFmtId="0" fontId="20" fillId="4" borderId="0" xfId="0" applyFont="1" applyFill="1" applyAlignment="1">
      <alignment horizontal="center"/>
    </xf>
    <xf numFmtId="0" fontId="20" fillId="5" borderId="0" xfId="0" applyFont="1" applyFill="1" applyAlignment="1">
      <alignment horizontal="center"/>
    </xf>
    <xf numFmtId="0" fontId="15" fillId="2" borderId="29" xfId="0" applyFont="1" applyFill="1" applyBorder="1" applyAlignment="1">
      <alignment horizontal="center" wrapText="1"/>
    </xf>
    <xf numFmtId="0" fontId="2" fillId="7" borderId="30" xfId="0" applyFont="1" applyFill="1" applyBorder="1" applyAlignment="1">
      <alignment horizontal="center" wrapText="1"/>
    </xf>
    <xf numFmtId="0" fontId="35" fillId="2" borderId="31" xfId="0" applyFont="1" applyFill="1" applyBorder="1" applyAlignment="1">
      <alignment horizontal="center"/>
    </xf>
    <xf numFmtId="0" fontId="11" fillId="2" borderId="32" xfId="0" applyFont="1" applyFill="1" applyBorder="1" applyAlignment="1">
      <alignment horizontal="center"/>
    </xf>
    <xf numFmtId="0" fontId="35" fillId="2" borderId="32" xfId="0" applyFont="1" applyFill="1" applyBorder="1" applyAlignment="1">
      <alignment horizontal="center"/>
    </xf>
    <xf numFmtId="0" fontId="11" fillId="2" borderId="33" xfId="0" applyFont="1" applyFill="1" applyBorder="1" applyAlignment="1">
      <alignment horizontal="center"/>
    </xf>
    <xf numFmtId="0" fontId="35" fillId="2" borderId="33" xfId="0" applyFont="1" applyFill="1" applyBorder="1" applyAlignment="1">
      <alignment horizontal="center"/>
    </xf>
    <xf numFmtId="0" fontId="35" fillId="2" borderId="0" xfId="0" applyFont="1" applyFill="1" applyBorder="1" applyAlignment="1">
      <alignment horizontal="center"/>
    </xf>
    <xf numFmtId="0" fontId="7" fillId="2" borderId="29" xfId="0" applyFont="1" applyFill="1" applyBorder="1"/>
    <xf numFmtId="0" fontId="36" fillId="2" borderId="0" xfId="0" applyFont="1" applyFill="1" applyAlignment="1">
      <alignment horizontal="right"/>
    </xf>
    <xf numFmtId="0" fontId="25" fillId="2" borderId="0" xfId="0" applyFont="1" applyFill="1" applyBorder="1" applyAlignment="1">
      <alignment horizontal="center"/>
    </xf>
    <xf numFmtId="0" fontId="36" fillId="2" borderId="0" xfId="0" quotePrefix="1" applyFont="1" applyFill="1" applyAlignment="1">
      <alignment horizontal="right"/>
    </xf>
    <xf numFmtId="0" fontId="46" fillId="2" borderId="0" xfId="0" applyFont="1" applyFill="1" applyBorder="1" applyAlignment="1">
      <alignment horizontal="left"/>
    </xf>
    <xf numFmtId="0" fontId="30" fillId="2" borderId="34" xfId="0" applyFont="1" applyFill="1" applyBorder="1" applyAlignment="1">
      <alignment horizontal="centerContinuous"/>
    </xf>
    <xf numFmtId="0" fontId="25" fillId="2" borderId="35" xfId="0" applyFont="1" applyFill="1" applyBorder="1" applyAlignment="1">
      <alignment horizontal="centerContinuous"/>
    </xf>
    <xf numFmtId="0" fontId="35" fillId="2" borderId="36" xfId="0" applyFont="1" applyFill="1" applyBorder="1" applyAlignment="1">
      <alignment horizontal="center"/>
    </xf>
    <xf numFmtId="0" fontId="25" fillId="2" borderId="37" xfId="0" applyFont="1" applyFill="1" applyBorder="1" applyAlignment="1">
      <alignment horizontal="centerContinuous"/>
    </xf>
    <xf numFmtId="0" fontId="6" fillId="2" borderId="38" xfId="0" applyFont="1" applyFill="1" applyBorder="1" applyAlignment="1">
      <alignment horizontal="centerContinuous"/>
    </xf>
    <xf numFmtId="0" fontId="25" fillId="2" borderId="39" xfId="0" applyFont="1" applyFill="1" applyBorder="1" applyAlignment="1">
      <alignment horizontal="centerContinuous"/>
    </xf>
    <xf numFmtId="0" fontId="35" fillId="2" borderId="40" xfId="0" applyFont="1" applyFill="1" applyBorder="1" applyAlignment="1">
      <alignment horizontal="center"/>
    </xf>
    <xf numFmtId="0" fontId="35" fillId="2" borderId="41" xfId="0" applyFont="1" applyFill="1" applyBorder="1" applyAlignment="1">
      <alignment horizontal="center"/>
    </xf>
    <xf numFmtId="0" fontId="35" fillId="2" borderId="42" xfId="0" applyFont="1" applyFill="1" applyBorder="1" applyAlignment="1">
      <alignment horizontal="center"/>
    </xf>
    <xf numFmtId="0" fontId="35" fillId="2" borderId="43" xfId="0" applyFont="1" applyFill="1" applyBorder="1" applyAlignment="1">
      <alignment horizontal="center"/>
    </xf>
    <xf numFmtId="0" fontId="35" fillId="2" borderId="44" xfId="0" applyFont="1" applyFill="1" applyBorder="1" applyAlignment="1">
      <alignment horizontal="center"/>
    </xf>
    <xf numFmtId="0" fontId="28" fillId="6" borderId="45" xfId="0" applyFont="1" applyFill="1" applyBorder="1" applyAlignment="1">
      <alignment horizontal="center" wrapText="1"/>
    </xf>
    <xf numFmtId="0" fontId="28" fillId="6" borderId="46" xfId="0" applyFont="1" applyFill="1" applyBorder="1" applyAlignment="1">
      <alignment horizontal="center" wrapText="1"/>
    </xf>
    <xf numFmtId="0" fontId="31" fillId="2" borderId="0" xfId="0" applyFont="1" applyFill="1" applyAlignment="1">
      <alignment horizontal="left" indent="1"/>
    </xf>
    <xf numFmtId="0" fontId="2" fillId="7" borderId="45" xfId="0" applyFont="1" applyFill="1" applyBorder="1" applyAlignment="1">
      <alignment horizontal="center" wrapText="1"/>
    </xf>
    <xf numFmtId="0" fontId="2" fillId="7" borderId="47" xfId="0" applyFont="1" applyFill="1" applyBorder="1" applyAlignment="1">
      <alignment horizontal="center" wrapText="1"/>
    </xf>
    <xf numFmtId="0" fontId="2" fillId="7" borderId="46" xfId="0" applyFont="1" applyFill="1" applyBorder="1" applyAlignment="1">
      <alignment horizontal="center" wrapText="1"/>
    </xf>
    <xf numFmtId="0" fontId="20" fillId="2" borderId="0" xfId="0" applyFont="1" applyFill="1" applyAlignment="1">
      <alignment horizontal="center"/>
    </xf>
    <xf numFmtId="0" fontId="50" fillId="8" borderId="45" xfId="0" applyFont="1" applyFill="1" applyBorder="1" applyAlignment="1">
      <alignment horizontal="center" wrapText="1"/>
    </xf>
    <xf numFmtId="0" fontId="34" fillId="8" borderId="47" xfId="0" applyFont="1" applyFill="1" applyBorder="1" applyAlignment="1">
      <alignment horizontal="center" wrapText="1"/>
    </xf>
    <xf numFmtId="0" fontId="34" fillId="8" borderId="46" xfId="0" applyFont="1" applyFill="1" applyBorder="1" applyAlignment="1">
      <alignment horizontal="center" wrapText="1"/>
    </xf>
    <xf numFmtId="0" fontId="28" fillId="6" borderId="48" xfId="0" applyFont="1" applyFill="1" applyBorder="1" applyAlignment="1">
      <alignment horizontal="center" wrapText="1"/>
    </xf>
    <xf numFmtId="0" fontId="9" fillId="2" borderId="45" xfId="0" applyFont="1" applyFill="1" applyBorder="1" applyAlignment="1">
      <alignment horizontal="center" wrapText="1"/>
    </xf>
    <xf numFmtId="0" fontId="9" fillId="2" borderId="47" xfId="0" applyFont="1" applyFill="1" applyBorder="1" applyAlignment="1">
      <alignment horizontal="center" wrapText="1"/>
    </xf>
    <xf numFmtId="0" fontId="9" fillId="2" borderId="46" xfId="0" applyFont="1" applyFill="1" applyBorder="1" applyAlignment="1">
      <alignment horizontal="center" wrapText="1"/>
    </xf>
    <xf numFmtId="0" fontId="7" fillId="2" borderId="0" xfId="0" applyFont="1" applyFill="1" applyBorder="1" applyAlignment="1">
      <alignment horizontal="left"/>
    </xf>
    <xf numFmtId="0" fontId="11" fillId="2" borderId="32" xfId="1" applyNumberFormat="1" applyFont="1" applyFill="1" applyBorder="1" applyAlignment="1">
      <alignment horizontal="center"/>
    </xf>
    <xf numFmtId="0" fontId="11" fillId="2" borderId="33" xfId="1" applyNumberFormat="1" applyFont="1" applyFill="1" applyBorder="1" applyAlignment="1">
      <alignment horizontal="center"/>
    </xf>
    <xf numFmtId="0" fontId="0" fillId="2" borderId="0" xfId="0" applyFill="1" applyBorder="1" applyAlignment="1"/>
    <xf numFmtId="0" fontId="0" fillId="2" borderId="49" xfId="0" applyFill="1" applyBorder="1" applyAlignment="1">
      <alignment horizontal="centerContinuous"/>
    </xf>
    <xf numFmtId="0" fontId="0" fillId="2" borderId="49" xfId="0" applyFill="1" applyBorder="1" applyAlignment="1">
      <alignment horizontal="left"/>
    </xf>
    <xf numFmtId="0" fontId="39" fillId="2" borderId="0" xfId="0" applyFont="1" applyFill="1" applyBorder="1" applyAlignment="1">
      <alignment horizontal="left"/>
    </xf>
    <xf numFmtId="0" fontId="11" fillId="2" borderId="36" xfId="1" applyNumberFormat="1" applyFont="1" applyFill="1" applyBorder="1" applyAlignment="1">
      <alignment horizontal="center"/>
    </xf>
    <xf numFmtId="0" fontId="11" fillId="2" borderId="36" xfId="0" applyFont="1" applyFill="1" applyBorder="1" applyAlignment="1">
      <alignment horizontal="center"/>
    </xf>
    <xf numFmtId="0" fontId="9" fillId="2" borderId="47" xfId="0" applyFont="1" applyFill="1" applyBorder="1" applyAlignment="1">
      <alignment horizontal="center"/>
    </xf>
    <xf numFmtId="0" fontId="6" fillId="2" borderId="0" xfId="0" applyFont="1" applyFill="1" applyAlignment="1">
      <alignment horizontal="left"/>
    </xf>
    <xf numFmtId="0" fontId="7" fillId="2" borderId="0" xfId="0" applyFont="1" applyFill="1" applyBorder="1" applyAlignment="1"/>
    <xf numFmtId="0" fontId="7" fillId="2" borderId="49" xfId="0" applyFont="1" applyFill="1" applyBorder="1" applyAlignment="1"/>
    <xf numFmtId="0" fontId="35" fillId="2" borderId="50" xfId="0" applyFont="1" applyFill="1" applyBorder="1" applyAlignment="1">
      <alignment horizontal="center"/>
    </xf>
    <xf numFmtId="0" fontId="35" fillId="3" borderId="32" xfId="0" applyFont="1" applyFill="1" applyBorder="1" applyAlignment="1">
      <alignment horizontal="center"/>
    </xf>
    <xf numFmtId="0" fontId="35" fillId="3" borderId="33" xfId="0" applyFont="1" applyFill="1" applyBorder="1" applyAlignment="1">
      <alignment horizontal="center"/>
    </xf>
    <xf numFmtId="0" fontId="4" fillId="2" borderId="0" xfId="0" applyFont="1" applyFill="1" applyBorder="1" applyAlignment="1">
      <alignment horizontal="left" vertical="top"/>
    </xf>
    <xf numFmtId="0" fontId="52" fillId="2" borderId="0" xfId="0" applyFont="1" applyFill="1"/>
    <xf numFmtId="0" fontId="21" fillId="5" borderId="0" xfId="0" applyNumberFormat="1" applyFont="1" applyFill="1" applyAlignment="1">
      <alignment horizontal="center"/>
    </xf>
    <xf numFmtId="0" fontId="6" fillId="2" borderId="0" xfId="0" quotePrefix="1" applyFont="1" applyFill="1" applyAlignment="1">
      <alignment horizontal="right"/>
    </xf>
    <xf numFmtId="0" fontId="9" fillId="2" borderId="0" xfId="0" applyFont="1" applyFill="1" applyBorder="1" applyAlignment="1">
      <alignment horizontal="centerContinuous"/>
    </xf>
    <xf numFmtId="0" fontId="11" fillId="2" borderId="42" xfId="0" applyFont="1" applyFill="1" applyBorder="1" applyAlignment="1">
      <alignment horizontal="center"/>
    </xf>
    <xf numFmtId="0" fontId="11" fillId="2" borderId="41" xfId="0" applyFont="1" applyFill="1" applyBorder="1" applyAlignment="1">
      <alignment horizontal="center"/>
    </xf>
    <xf numFmtId="0" fontId="11" fillId="2" borderId="44" xfId="0" applyFont="1" applyFill="1" applyBorder="1" applyAlignment="1">
      <alignment horizontal="center"/>
    </xf>
    <xf numFmtId="0" fontId="11" fillId="2" borderId="43" xfId="0" applyFont="1" applyFill="1" applyBorder="1" applyAlignment="1">
      <alignment horizontal="center"/>
    </xf>
    <xf numFmtId="0" fontId="11" fillId="2" borderId="51" xfId="0" applyFont="1" applyFill="1" applyBorder="1" applyAlignment="1">
      <alignment horizontal="center"/>
    </xf>
    <xf numFmtId="0" fontId="11" fillId="2" borderId="52" xfId="0" applyFont="1" applyFill="1" applyBorder="1" applyAlignment="1">
      <alignment horizontal="center"/>
    </xf>
    <xf numFmtId="0" fontId="22" fillId="6" borderId="45" xfId="0" applyFont="1" applyFill="1" applyBorder="1" applyAlignment="1">
      <alignment horizontal="center" wrapText="1"/>
    </xf>
    <xf numFmtId="0" fontId="22" fillId="6" borderId="46" xfId="0" applyFont="1" applyFill="1" applyBorder="1" applyAlignment="1">
      <alignment horizontal="center" wrapText="1"/>
    </xf>
    <xf numFmtId="0" fontId="9" fillId="2" borderId="53" xfId="0" applyFont="1" applyFill="1" applyBorder="1" applyAlignment="1">
      <alignment horizontal="left"/>
    </xf>
    <xf numFmtId="0" fontId="21" fillId="9" borderId="0" xfId="0" applyFont="1" applyFill="1" applyAlignment="1">
      <alignment horizontal="center"/>
    </xf>
    <xf numFmtId="0" fontId="21" fillId="8" borderId="0" xfId="0" applyFont="1" applyFill="1" applyAlignment="1">
      <alignment horizontal="center"/>
    </xf>
    <xf numFmtId="0" fontId="21" fillId="8" borderId="0" xfId="0" applyNumberFormat="1" applyFont="1" applyFill="1" applyAlignment="1">
      <alignment horizontal="center"/>
    </xf>
    <xf numFmtId="0" fontId="53" fillId="2" borderId="0" xfId="0" applyFont="1" applyFill="1"/>
    <xf numFmtId="0" fontId="9" fillId="2" borderId="29" xfId="0" applyFont="1" applyFill="1" applyBorder="1" applyAlignment="1">
      <alignment horizontal="left" indent="1"/>
    </xf>
    <xf numFmtId="0" fontId="0" fillId="2" borderId="29" xfId="0" applyFill="1" applyBorder="1"/>
    <xf numFmtId="0" fontId="9" fillId="2" borderId="29" xfId="0" applyFont="1" applyFill="1" applyBorder="1" applyAlignment="1">
      <alignment horizontal="center" wrapText="1"/>
    </xf>
    <xf numFmtId="0" fontId="7" fillId="2" borderId="0" xfId="0" applyFont="1" applyFill="1" applyBorder="1"/>
    <xf numFmtId="0" fontId="6" fillId="2" borderId="54" xfId="0" applyFont="1" applyFill="1" applyBorder="1"/>
    <xf numFmtId="0" fontId="46" fillId="2" borderId="55" xfId="0" applyFont="1" applyFill="1" applyBorder="1"/>
    <xf numFmtId="0" fontId="0" fillId="2" borderId="55" xfId="0" applyFill="1" applyBorder="1"/>
    <xf numFmtId="0" fontId="54" fillId="2" borderId="55" xfId="0" applyFont="1" applyFill="1" applyBorder="1" applyAlignment="1" applyProtection="1">
      <alignment vertical="top"/>
    </xf>
    <xf numFmtId="0" fontId="15" fillId="2" borderId="29" xfId="0" applyFont="1" applyFill="1" applyBorder="1" applyAlignment="1">
      <alignment horizontal="center"/>
    </xf>
    <xf numFmtId="0" fontId="10" fillId="2" borderId="29" xfId="0" applyFont="1" applyFill="1" applyBorder="1" applyAlignment="1">
      <alignment horizontal="center"/>
    </xf>
    <xf numFmtId="0" fontId="6" fillId="2" borderId="29" xfId="0" applyFont="1" applyFill="1" applyBorder="1" applyAlignment="1">
      <alignment horizontal="left"/>
    </xf>
    <xf numFmtId="0" fontId="25" fillId="2" borderId="29" xfId="0" applyFont="1" applyFill="1" applyBorder="1" applyAlignment="1">
      <alignment horizontal="center"/>
    </xf>
    <xf numFmtId="0" fontId="9" fillId="2" borderId="0" xfId="0" applyFont="1" applyFill="1" applyBorder="1" applyAlignment="1">
      <alignment horizontal="center"/>
    </xf>
    <xf numFmtId="0" fontId="10" fillId="2" borderId="0" xfId="0" applyFont="1" applyFill="1" applyBorder="1" applyAlignment="1">
      <alignment horizontal="center"/>
    </xf>
    <xf numFmtId="0" fontId="6" fillId="2" borderId="0" xfId="0" applyFont="1" applyFill="1" applyBorder="1" applyAlignment="1">
      <alignment horizontal="left"/>
    </xf>
    <xf numFmtId="0" fontId="46" fillId="2" borderId="55" xfId="0" applyFont="1" applyFill="1" applyBorder="1" applyAlignment="1">
      <alignment vertical="top"/>
    </xf>
    <xf numFmtId="0" fontId="9" fillId="2" borderId="55" xfId="0" applyFont="1" applyFill="1" applyBorder="1" applyAlignment="1">
      <alignment horizontal="center"/>
    </xf>
    <xf numFmtId="0" fontId="10" fillId="2" borderId="55" xfId="0" applyFont="1" applyFill="1" applyBorder="1" applyAlignment="1">
      <alignment horizontal="center"/>
    </xf>
    <xf numFmtId="0" fontId="6" fillId="2" borderId="55" xfId="0" applyFont="1" applyFill="1" applyBorder="1" applyAlignment="1">
      <alignment horizontal="left"/>
    </xf>
    <xf numFmtId="0" fontId="25" fillId="2" borderId="55" xfId="0" applyFont="1" applyFill="1" applyBorder="1" applyAlignment="1">
      <alignment horizontal="center"/>
    </xf>
    <xf numFmtId="0" fontId="4" fillId="2" borderId="55" xfId="0" applyFont="1" applyFill="1" applyBorder="1" applyAlignment="1">
      <alignment horizontal="left"/>
    </xf>
    <xf numFmtId="0" fontId="9" fillId="2" borderId="54" xfId="0" applyFont="1" applyFill="1" applyBorder="1" applyAlignment="1">
      <alignment horizontal="center"/>
    </xf>
    <xf numFmtId="0" fontId="10" fillId="2" borderId="54" xfId="0" applyFont="1" applyFill="1" applyBorder="1" applyAlignment="1">
      <alignment horizontal="center"/>
    </xf>
    <xf numFmtId="0" fontId="6" fillId="2" borderId="54" xfId="0" applyFont="1" applyFill="1" applyBorder="1" applyAlignment="1">
      <alignment horizontal="left"/>
    </xf>
    <xf numFmtId="0" fontId="25" fillId="2" borderId="54" xfId="0" applyFont="1" applyFill="1" applyBorder="1" applyAlignment="1">
      <alignment horizontal="center"/>
    </xf>
    <xf numFmtId="0" fontId="5" fillId="2" borderId="0" xfId="0" applyFont="1" applyFill="1" applyBorder="1" applyAlignment="1">
      <alignment horizontal="left"/>
    </xf>
    <xf numFmtId="0" fontId="36" fillId="2" borderId="29" xfId="0" applyFont="1" applyFill="1" applyBorder="1"/>
    <xf numFmtId="0" fontId="21" fillId="4" borderId="42" xfId="0" applyFont="1" applyFill="1" applyBorder="1" applyAlignment="1">
      <alignment horizontal="center"/>
    </xf>
    <xf numFmtId="0" fontId="21" fillId="4" borderId="32" xfId="0" applyFont="1" applyFill="1" applyBorder="1" applyAlignment="1">
      <alignment horizontal="center"/>
    </xf>
    <xf numFmtId="0" fontId="21" fillId="4" borderId="41" xfId="0" applyFont="1" applyFill="1" applyBorder="1" applyAlignment="1">
      <alignment horizontal="center"/>
    </xf>
    <xf numFmtId="0" fontId="21" fillId="5" borderId="42" xfId="0" applyFont="1" applyFill="1" applyBorder="1" applyAlignment="1">
      <alignment horizontal="center"/>
    </xf>
    <xf numFmtId="0" fontId="21" fillId="5" borderId="32" xfId="0" applyFont="1" applyFill="1" applyBorder="1" applyAlignment="1">
      <alignment horizontal="center"/>
    </xf>
    <xf numFmtId="0" fontId="21" fillId="5" borderId="41" xfId="0" applyFont="1" applyFill="1" applyBorder="1" applyAlignment="1">
      <alignment horizontal="center"/>
    </xf>
    <xf numFmtId="0" fontId="2" fillId="2" borderId="40" xfId="0" applyFont="1" applyFill="1" applyBorder="1" applyAlignment="1">
      <alignment horizontal="center"/>
    </xf>
    <xf numFmtId="0" fontId="2" fillId="2" borderId="31" xfId="0" applyFont="1" applyFill="1" applyBorder="1" applyAlignment="1">
      <alignment horizontal="center"/>
    </xf>
    <xf numFmtId="0" fontId="25" fillId="2" borderId="42" xfId="0" applyFont="1" applyFill="1" applyBorder="1" applyAlignment="1">
      <alignment horizontal="center"/>
    </xf>
    <xf numFmtId="0" fontId="25" fillId="2" borderId="32" xfId="0" applyFont="1" applyFill="1" applyBorder="1" applyAlignment="1">
      <alignment horizontal="center"/>
    </xf>
    <xf numFmtId="0" fontId="25" fillId="2" borderId="41" xfId="0" applyFont="1" applyFill="1" applyBorder="1" applyAlignment="1">
      <alignment horizontal="center"/>
    </xf>
    <xf numFmtId="0" fontId="21" fillId="9" borderId="42" xfId="0" applyFont="1" applyFill="1" applyBorder="1" applyAlignment="1">
      <alignment horizontal="center"/>
    </xf>
    <xf numFmtId="0" fontId="21" fillId="9" borderId="32" xfId="0" applyFont="1" applyFill="1" applyBorder="1" applyAlignment="1">
      <alignment horizontal="center"/>
    </xf>
    <xf numFmtId="0" fontId="21" fillId="9" borderId="41" xfId="0" applyFont="1" applyFill="1" applyBorder="1" applyAlignment="1">
      <alignment horizontal="center"/>
    </xf>
    <xf numFmtId="0" fontId="21" fillId="8" borderId="42" xfId="0" applyFont="1" applyFill="1" applyBorder="1" applyAlignment="1">
      <alignment horizontal="center"/>
    </xf>
    <xf numFmtId="0" fontId="21" fillId="8" borderId="32" xfId="0" applyFont="1" applyFill="1" applyBorder="1" applyAlignment="1">
      <alignment horizontal="center"/>
    </xf>
    <xf numFmtId="0" fontId="21" fillId="8" borderId="41" xfId="0" applyFont="1" applyFill="1" applyBorder="1" applyAlignment="1">
      <alignment horizontal="center"/>
    </xf>
    <xf numFmtId="172" fontId="25" fillId="2" borderId="40" xfId="0" applyNumberFormat="1" applyFont="1" applyFill="1" applyBorder="1" applyAlignment="1">
      <alignment horizontal="center"/>
    </xf>
    <xf numFmtId="172" fontId="25" fillId="2" borderId="31" xfId="0" applyNumberFormat="1" applyFont="1" applyFill="1" applyBorder="1" applyAlignment="1">
      <alignment horizontal="center"/>
    </xf>
    <xf numFmtId="172" fontId="25" fillId="2" borderId="56" xfId="0" applyNumberFormat="1" applyFont="1" applyFill="1" applyBorder="1" applyAlignment="1">
      <alignment horizontal="center"/>
    </xf>
    <xf numFmtId="173" fontId="25" fillId="4" borderId="42" xfId="1" applyNumberFormat="1" applyFont="1" applyFill="1" applyBorder="1" applyAlignment="1">
      <alignment horizontal="center"/>
    </xf>
    <xf numFmtId="173" fontId="25" fillId="4" borderId="32" xfId="1" applyNumberFormat="1" applyFont="1" applyFill="1" applyBorder="1" applyAlignment="1">
      <alignment horizontal="center"/>
    </xf>
    <xf numFmtId="173" fontId="25" fillId="4" borderId="41" xfId="1" applyNumberFormat="1" applyFont="1" applyFill="1" applyBorder="1" applyAlignment="1">
      <alignment horizontal="center"/>
    </xf>
    <xf numFmtId="172" fontId="25" fillId="2" borderId="44" xfId="0" applyNumberFormat="1" applyFont="1" applyFill="1" applyBorder="1" applyAlignment="1">
      <alignment horizontal="center"/>
    </xf>
    <xf numFmtId="172" fontId="25" fillId="2" borderId="33" xfId="0" applyNumberFormat="1" applyFont="1" applyFill="1" applyBorder="1" applyAlignment="1">
      <alignment horizontal="center"/>
    </xf>
    <xf numFmtId="172" fontId="25" fillId="2" borderId="43" xfId="0" applyNumberFormat="1" applyFont="1" applyFill="1" applyBorder="1" applyAlignment="1">
      <alignment horizontal="center"/>
    </xf>
    <xf numFmtId="173" fontId="25" fillId="9" borderId="42" xfId="1" applyNumberFormat="1" applyFont="1" applyFill="1" applyBorder="1" applyAlignment="1">
      <alignment horizontal="center"/>
    </xf>
    <xf numFmtId="173" fontId="25" fillId="9" borderId="32" xfId="1" applyNumberFormat="1" applyFont="1" applyFill="1" applyBorder="1" applyAlignment="1">
      <alignment horizontal="center"/>
    </xf>
    <xf numFmtId="173" fontId="25" fillId="9" borderId="41" xfId="1" applyNumberFormat="1" applyFont="1" applyFill="1" applyBorder="1" applyAlignment="1">
      <alignment horizontal="center"/>
    </xf>
    <xf numFmtId="0" fontId="25" fillId="4" borderId="40" xfId="0" applyFont="1" applyFill="1" applyBorder="1" applyAlignment="1">
      <alignment horizontal="center"/>
    </xf>
    <xf numFmtId="0" fontId="25" fillId="4" borderId="31" xfId="0" applyFont="1" applyFill="1" applyBorder="1" applyAlignment="1">
      <alignment horizontal="center"/>
    </xf>
    <xf numFmtId="0" fontId="25" fillId="4" borderId="56" xfId="0" applyFont="1" applyFill="1" applyBorder="1" applyAlignment="1">
      <alignment horizontal="center"/>
    </xf>
    <xf numFmtId="0" fontId="25" fillId="5" borderId="42" xfId="0" applyFont="1" applyFill="1" applyBorder="1" applyAlignment="1">
      <alignment horizontal="center"/>
    </xf>
    <xf numFmtId="0" fontId="25" fillId="5" borderId="32" xfId="0" applyFont="1" applyFill="1" applyBorder="1" applyAlignment="1">
      <alignment horizontal="center"/>
    </xf>
    <xf numFmtId="0" fontId="25" fillId="5" borderId="41" xfId="0" applyFont="1" applyFill="1" applyBorder="1" applyAlignment="1">
      <alignment horizontal="center"/>
    </xf>
    <xf numFmtId="165" fontId="21" fillId="2" borderId="44" xfId="0" applyNumberFormat="1" applyFont="1" applyFill="1" applyBorder="1" applyAlignment="1">
      <alignment horizontal="center"/>
    </xf>
    <xf numFmtId="165" fontId="21" fillId="2" borderId="33" xfId="0" applyNumberFormat="1" applyFont="1" applyFill="1" applyBorder="1" applyAlignment="1">
      <alignment horizontal="center"/>
    </xf>
    <xf numFmtId="165" fontId="21" fillId="2" borderId="43" xfId="0" applyNumberFormat="1" applyFont="1" applyFill="1" applyBorder="1" applyAlignment="1">
      <alignment horizontal="center"/>
    </xf>
    <xf numFmtId="0" fontId="25" fillId="9" borderId="40" xfId="0" applyFont="1" applyFill="1" applyBorder="1" applyAlignment="1">
      <alignment horizontal="center"/>
    </xf>
    <xf numFmtId="0" fontId="25" fillId="9" borderId="31" xfId="0" applyFont="1" applyFill="1" applyBorder="1" applyAlignment="1">
      <alignment horizontal="center"/>
    </xf>
    <xf numFmtId="0" fontId="25" fillId="9" borderId="56" xfId="0" applyFont="1" applyFill="1" applyBorder="1" applyAlignment="1">
      <alignment horizontal="center"/>
    </xf>
    <xf numFmtId="0" fontId="25" fillId="8" borderId="42" xfId="0" applyFont="1" applyFill="1" applyBorder="1" applyAlignment="1">
      <alignment horizontal="center"/>
    </xf>
    <xf numFmtId="0" fontId="25" fillId="8" borderId="32" xfId="0" applyFont="1" applyFill="1" applyBorder="1" applyAlignment="1">
      <alignment horizontal="center"/>
    </xf>
    <xf numFmtId="0" fontId="25" fillId="8" borderId="41" xfId="0" applyFont="1" applyFill="1" applyBorder="1" applyAlignment="1">
      <alignment horizontal="center"/>
    </xf>
    <xf numFmtId="0" fontId="45" fillId="4" borderId="51" xfId="0" applyNumberFormat="1" applyFont="1" applyFill="1" applyBorder="1" applyAlignment="1">
      <alignment horizontal="center"/>
    </xf>
    <xf numFmtId="0" fontId="45" fillId="4" borderId="36" xfId="0" applyNumberFormat="1" applyFont="1" applyFill="1" applyBorder="1" applyAlignment="1">
      <alignment horizontal="center"/>
    </xf>
    <xf numFmtId="0" fontId="45" fillId="4" borderId="52" xfId="0" applyNumberFormat="1" applyFont="1" applyFill="1" applyBorder="1" applyAlignment="1">
      <alignment horizontal="center"/>
    </xf>
    <xf numFmtId="0" fontId="37" fillId="4" borderId="57" xfId="0" applyFont="1" applyFill="1" applyBorder="1" applyAlignment="1">
      <alignment horizontal="center"/>
    </xf>
    <xf numFmtId="0" fontId="37" fillId="4" borderId="58" xfId="0" applyFont="1" applyFill="1" applyBorder="1" applyAlignment="1">
      <alignment horizontal="center"/>
    </xf>
    <xf numFmtId="0" fontId="37" fillId="4" borderId="59" xfId="0" applyFont="1" applyFill="1" applyBorder="1" applyAlignment="1">
      <alignment horizontal="center"/>
    </xf>
    <xf numFmtId="0" fontId="45" fillId="9" borderId="51" xfId="0" applyNumberFormat="1" applyFont="1" applyFill="1" applyBorder="1" applyAlignment="1">
      <alignment horizontal="center"/>
    </xf>
    <xf numFmtId="0" fontId="45" fillId="9" borderId="36" xfId="0" applyNumberFormat="1" applyFont="1" applyFill="1" applyBorder="1" applyAlignment="1">
      <alignment horizontal="center"/>
    </xf>
    <xf numFmtId="0" fontId="45" fillId="9" borderId="52" xfId="0" applyNumberFormat="1" applyFont="1" applyFill="1" applyBorder="1" applyAlignment="1">
      <alignment horizontal="center"/>
    </xf>
    <xf numFmtId="0" fontId="37" fillId="9" borderId="57" xfId="0" applyFont="1" applyFill="1" applyBorder="1" applyAlignment="1">
      <alignment horizontal="center"/>
    </xf>
    <xf numFmtId="0" fontId="37" fillId="9" borderId="58" xfId="0" applyFont="1" applyFill="1" applyBorder="1" applyAlignment="1">
      <alignment horizontal="center"/>
    </xf>
    <xf numFmtId="0" fontId="37" fillId="9" borderId="59" xfId="0" applyFont="1" applyFill="1" applyBorder="1" applyAlignment="1">
      <alignment horizontal="center"/>
    </xf>
    <xf numFmtId="177" fontId="20" fillId="2" borderId="51" xfId="0" quotePrefix="1" applyNumberFormat="1" applyFont="1" applyFill="1" applyBorder="1" applyAlignment="1" applyProtection="1">
      <alignment horizontal="center"/>
    </xf>
    <xf numFmtId="177" fontId="20" fillId="2" borderId="36" xfId="0" quotePrefix="1" applyNumberFormat="1" applyFont="1" applyFill="1" applyBorder="1" applyAlignment="1" applyProtection="1">
      <alignment horizontal="center"/>
    </xf>
    <xf numFmtId="177" fontId="20" fillId="2" borderId="42" xfId="0" quotePrefix="1" applyNumberFormat="1" applyFont="1" applyFill="1" applyBorder="1" applyAlignment="1" applyProtection="1">
      <alignment horizontal="center"/>
    </xf>
    <xf numFmtId="177" fontId="20" fillId="2" borderId="32" xfId="0" quotePrefix="1" applyNumberFormat="1" applyFont="1" applyFill="1" applyBorder="1" applyAlignment="1" applyProtection="1">
      <alignment horizontal="center"/>
    </xf>
    <xf numFmtId="177" fontId="20" fillId="2" borderId="44" xfId="0" quotePrefix="1" applyNumberFormat="1" applyFont="1" applyFill="1" applyBorder="1" applyAlignment="1" applyProtection="1">
      <alignment horizontal="center"/>
    </xf>
    <xf numFmtId="177" fontId="20" fillId="2" borderId="33" xfId="0" quotePrefix="1" applyNumberFormat="1" applyFont="1" applyFill="1" applyBorder="1" applyAlignment="1" applyProtection="1">
      <alignment horizontal="center"/>
    </xf>
    <xf numFmtId="178" fontId="11" fillId="2" borderId="36" xfId="1" applyNumberFormat="1" applyFont="1" applyFill="1" applyBorder="1" applyAlignment="1">
      <alignment horizontal="center"/>
    </xf>
    <xf numFmtId="178" fontId="11" fillId="2" borderId="52" xfId="1" applyNumberFormat="1" applyFont="1" applyFill="1" applyBorder="1" applyAlignment="1">
      <alignment horizontal="center"/>
    </xf>
    <xf numFmtId="178" fontId="11" fillId="2" borderId="32" xfId="1" applyNumberFormat="1" applyFont="1" applyFill="1" applyBorder="1" applyAlignment="1">
      <alignment horizontal="center"/>
    </xf>
    <xf numFmtId="178" fontId="11" fillId="2" borderId="41" xfId="1" applyNumberFormat="1" applyFont="1" applyFill="1" applyBorder="1" applyAlignment="1">
      <alignment horizontal="center"/>
    </xf>
    <xf numFmtId="178" fontId="11" fillId="2" borderId="33" xfId="1" applyNumberFormat="1" applyFont="1" applyFill="1" applyBorder="1" applyAlignment="1">
      <alignment horizontal="center"/>
    </xf>
    <xf numFmtId="178" fontId="11" fillId="2" borderId="43" xfId="1" applyNumberFormat="1" applyFont="1" applyFill="1" applyBorder="1" applyAlignment="1">
      <alignment horizontal="center"/>
    </xf>
    <xf numFmtId="0" fontId="9" fillId="2" borderId="48" xfId="0" applyFont="1" applyFill="1" applyBorder="1" applyAlignment="1">
      <alignment horizontal="center" wrapText="1"/>
    </xf>
    <xf numFmtId="178" fontId="11" fillId="8" borderId="60" xfId="1" applyNumberFormat="1" applyFont="1" applyFill="1" applyBorder="1" applyAlignment="1">
      <alignment horizontal="left"/>
    </xf>
    <xf numFmtId="178" fontId="11" fillId="8" borderId="61" xfId="1" applyNumberFormat="1" applyFont="1" applyFill="1" applyBorder="1" applyAlignment="1">
      <alignment horizontal="left"/>
    </xf>
    <xf numFmtId="0" fontId="35" fillId="2" borderId="62" xfId="0" applyFont="1" applyFill="1" applyBorder="1" applyAlignment="1">
      <alignment horizontal="center"/>
    </xf>
    <xf numFmtId="0" fontId="35" fillId="2" borderId="63" xfId="0" applyFont="1" applyFill="1" applyBorder="1" applyAlignment="1">
      <alignment horizontal="center"/>
    </xf>
    <xf numFmtId="0" fontId="46" fillId="0" borderId="0" xfId="0" applyFont="1"/>
    <xf numFmtId="0" fontId="9" fillId="2" borderId="0" xfId="0" applyFont="1" applyFill="1" applyBorder="1" applyAlignment="1">
      <alignment horizontal="center" wrapText="1"/>
    </xf>
    <xf numFmtId="178" fontId="11" fillId="8" borderId="0" xfId="1" applyNumberFormat="1" applyFont="1" applyFill="1" applyBorder="1" applyAlignment="1">
      <alignment horizontal="left"/>
    </xf>
    <xf numFmtId="179" fontId="11" fillId="8" borderId="36" xfId="0" applyNumberFormat="1" applyFont="1" applyFill="1" applyBorder="1" applyAlignment="1">
      <alignment horizontal="center"/>
    </xf>
    <xf numFmtId="0" fontId="9" fillId="2" borderId="64" xfId="0" applyFont="1" applyFill="1" applyBorder="1" applyAlignment="1">
      <alignment horizontal="center" wrapText="1"/>
    </xf>
    <xf numFmtId="0" fontId="35" fillId="2" borderId="65" xfId="1" applyNumberFormat="1" applyFont="1" applyFill="1" applyBorder="1" applyAlignment="1">
      <alignment horizontal="center"/>
    </xf>
    <xf numFmtId="0" fontId="35" fillId="2" borderId="66" xfId="1" applyNumberFormat="1" applyFont="1" applyFill="1" applyBorder="1" applyAlignment="1">
      <alignment horizontal="center"/>
    </xf>
    <xf numFmtId="0" fontId="35" fillId="2" borderId="67" xfId="1" applyNumberFormat="1" applyFont="1" applyFill="1" applyBorder="1" applyAlignment="1">
      <alignment horizontal="center"/>
    </xf>
    <xf numFmtId="179" fontId="11" fillId="8" borderId="51" xfId="0" applyNumberFormat="1" applyFont="1" applyFill="1" applyBorder="1" applyAlignment="1">
      <alignment horizontal="center"/>
    </xf>
    <xf numFmtId="180" fontId="11" fillId="8" borderId="52" xfId="1" applyNumberFormat="1" applyFont="1" applyFill="1" applyBorder="1" applyAlignment="1">
      <alignment horizontal="center"/>
    </xf>
    <xf numFmtId="179" fontId="11" fillId="8" borderId="42" xfId="0" applyNumberFormat="1" applyFont="1" applyFill="1" applyBorder="1" applyAlignment="1">
      <alignment horizontal="center"/>
    </xf>
    <xf numFmtId="179" fontId="11" fillId="8" borderId="32" xfId="0" applyNumberFormat="1" applyFont="1" applyFill="1" applyBorder="1" applyAlignment="1">
      <alignment horizontal="center"/>
    </xf>
    <xf numFmtId="180" fontId="11" fillId="8" borderId="41" xfId="1" applyNumberFormat="1" applyFont="1" applyFill="1" applyBorder="1" applyAlignment="1">
      <alignment horizontal="center"/>
    </xf>
    <xf numFmtId="179" fontId="11" fillId="8" borderId="44" xfId="0" applyNumberFormat="1" applyFont="1" applyFill="1" applyBorder="1" applyAlignment="1">
      <alignment horizontal="center"/>
    </xf>
    <xf numFmtId="179" fontId="11" fillId="8" borderId="33" xfId="0" applyNumberFormat="1" applyFont="1" applyFill="1" applyBorder="1" applyAlignment="1">
      <alignment horizontal="center"/>
    </xf>
    <xf numFmtId="180" fontId="11" fillId="8" borderId="43" xfId="1" applyNumberFormat="1" applyFont="1" applyFill="1" applyBorder="1" applyAlignment="1">
      <alignment horizontal="center"/>
    </xf>
    <xf numFmtId="0" fontId="46" fillId="0" borderId="0" xfId="0" applyFont="1" applyAlignment="1">
      <alignment horizontal="left"/>
    </xf>
    <xf numFmtId="0" fontId="34" fillId="2" borderId="47" xfId="0" applyFont="1" applyFill="1" applyBorder="1" applyAlignment="1">
      <alignment horizontal="center" wrapText="1"/>
    </xf>
    <xf numFmtId="181" fontId="11" fillId="2" borderId="36" xfId="0" applyNumberFormat="1" applyFont="1" applyFill="1" applyBorder="1" applyAlignment="1">
      <alignment horizontal="center"/>
    </xf>
    <xf numFmtId="181" fontId="19" fillId="2" borderId="52" xfId="0" applyNumberFormat="1" applyFont="1" applyFill="1" applyBorder="1" applyAlignment="1">
      <alignment horizontal="center"/>
    </xf>
    <xf numFmtId="181" fontId="11" fillId="2" borderId="51" xfId="0" applyNumberFormat="1" applyFont="1" applyFill="1" applyBorder="1" applyAlignment="1">
      <alignment horizontal="center"/>
    </xf>
    <xf numFmtId="181" fontId="11" fillId="2" borderId="32" xfId="0" applyNumberFormat="1" applyFont="1" applyFill="1" applyBorder="1" applyAlignment="1">
      <alignment horizontal="center"/>
    </xf>
    <xf numFmtId="181" fontId="19" fillId="2" borderId="41" xfId="0" applyNumberFormat="1" applyFont="1" applyFill="1" applyBorder="1" applyAlignment="1">
      <alignment horizontal="center"/>
    </xf>
    <xf numFmtId="181" fontId="11" fillId="2" borderId="42" xfId="0" applyNumberFormat="1" applyFont="1" applyFill="1" applyBorder="1" applyAlignment="1">
      <alignment horizontal="center"/>
    </xf>
    <xf numFmtId="181" fontId="11" fillId="2" borderId="33" xfId="0" applyNumberFormat="1" applyFont="1" applyFill="1" applyBorder="1" applyAlignment="1">
      <alignment horizontal="center"/>
    </xf>
    <xf numFmtId="181" fontId="19" fillId="2" borderId="43" xfId="0" applyNumberFormat="1" applyFont="1" applyFill="1" applyBorder="1" applyAlignment="1">
      <alignment horizontal="center"/>
    </xf>
    <xf numFmtId="181" fontId="11" fillId="2" borderId="44" xfId="0" applyNumberFormat="1" applyFont="1" applyFill="1" applyBorder="1" applyAlignment="1">
      <alignment horizontal="center"/>
    </xf>
    <xf numFmtId="0" fontId="37" fillId="4" borderId="0" xfId="0" applyFont="1" applyFill="1"/>
    <xf numFmtId="0" fontId="46" fillId="2" borderId="55" xfId="0" applyFont="1" applyFill="1" applyBorder="1" applyAlignment="1">
      <alignment horizontal="left"/>
    </xf>
    <xf numFmtId="0" fontId="11" fillId="3" borderId="0" xfId="0" applyFont="1" applyFill="1"/>
    <xf numFmtId="0" fontId="31" fillId="3" borderId="0" xfId="0" applyFont="1" applyFill="1"/>
    <xf numFmtId="0" fontId="1" fillId="2" borderId="0" xfId="0" applyFont="1" applyFill="1"/>
    <xf numFmtId="174" fontId="21" fillId="5" borderId="0" xfId="0" applyNumberFormat="1" applyFont="1" applyFill="1" applyAlignment="1">
      <alignment horizontal="center"/>
    </xf>
    <xf numFmtId="174" fontId="21" fillId="8" borderId="0" xfId="0" applyNumberFormat="1" applyFont="1" applyFill="1" applyAlignment="1">
      <alignment horizontal="center"/>
    </xf>
    <xf numFmtId="174" fontId="21" fillId="4" borderId="0" xfId="0" applyNumberFormat="1" applyFont="1" applyFill="1" applyAlignment="1">
      <alignment horizontal="center"/>
    </xf>
    <xf numFmtId="174" fontId="21" fillId="9" borderId="0" xfId="0" applyNumberFormat="1" applyFont="1" applyFill="1" applyAlignment="1">
      <alignment horizontal="center"/>
    </xf>
    <xf numFmtId="174" fontId="33" fillId="4" borderId="0" xfId="0" applyNumberFormat="1" applyFont="1" applyFill="1" applyAlignment="1">
      <alignment horizontal="center"/>
    </xf>
    <xf numFmtId="174" fontId="33" fillId="5" borderId="0" xfId="0" applyNumberFormat="1" applyFont="1" applyFill="1" applyAlignment="1">
      <alignment horizontal="center"/>
    </xf>
    <xf numFmtId="0" fontId="58" fillId="2" borderId="0" xfId="0" applyFont="1" applyFill="1"/>
    <xf numFmtId="0" fontId="46" fillId="2" borderId="0" xfId="0" applyFont="1" applyFill="1" applyAlignment="1">
      <alignment horizontal="center"/>
    </xf>
    <xf numFmtId="0" fontId="34" fillId="5" borderId="0" xfId="0" applyNumberFormat="1" applyFont="1" applyFill="1" applyAlignment="1">
      <alignment horizontal="center"/>
    </xf>
    <xf numFmtId="0" fontId="4" fillId="2" borderId="1" xfId="0" applyFont="1" applyFill="1" applyBorder="1"/>
    <xf numFmtId="0" fontId="45" fillId="2" borderId="44" xfId="0" applyFont="1" applyFill="1" applyBorder="1" applyAlignment="1">
      <alignment horizontal="center"/>
    </xf>
    <xf numFmtId="0" fontId="45" fillId="2" borderId="33" xfId="0" applyFont="1" applyFill="1" applyBorder="1" applyAlignment="1">
      <alignment horizontal="center"/>
    </xf>
    <xf numFmtId="0" fontId="45" fillId="2" borderId="43" xfId="0" applyFont="1" applyFill="1" applyBorder="1" applyAlignment="1">
      <alignment horizontal="center"/>
    </xf>
    <xf numFmtId="183" fontId="47" fillId="6" borderId="0" xfId="0" applyNumberFormat="1" applyFont="1" applyFill="1" applyBorder="1" applyAlignment="1">
      <alignment horizontal="center"/>
    </xf>
    <xf numFmtId="0" fontId="21" fillId="4" borderId="0" xfId="0" applyFont="1" applyFill="1" applyBorder="1" applyAlignment="1">
      <alignment horizontal="center"/>
    </xf>
    <xf numFmtId="0" fontId="46" fillId="2" borderId="0" xfId="0" applyFont="1" applyFill="1" applyBorder="1"/>
    <xf numFmtId="0" fontId="4" fillId="2" borderId="29" xfId="0" applyFont="1" applyFill="1" applyBorder="1"/>
    <xf numFmtId="0" fontId="18" fillId="0" borderId="0" xfId="0" applyFont="1" applyBorder="1"/>
    <xf numFmtId="0" fontId="0" fillId="0" borderId="0" xfId="0" applyAlignment="1" applyProtection="1">
      <alignment horizontal="center"/>
    </xf>
    <xf numFmtId="0" fontId="0" fillId="0" borderId="0" xfId="0" applyAlignment="1">
      <alignment horizontal="right"/>
    </xf>
    <xf numFmtId="0" fontId="0" fillId="0" borderId="0" xfId="0" applyFill="1" applyAlignment="1">
      <alignment horizontal="centerContinuous"/>
    </xf>
    <xf numFmtId="0" fontId="37" fillId="5" borderId="69" xfId="0" applyFont="1" applyFill="1" applyBorder="1"/>
    <xf numFmtId="0" fontId="36" fillId="5" borderId="0" xfId="0" applyFont="1" applyFill="1"/>
    <xf numFmtId="0" fontId="61" fillId="0" borderId="0" xfId="0" applyFont="1"/>
    <xf numFmtId="0" fontId="62" fillId="0" borderId="0" xfId="0" applyFont="1"/>
    <xf numFmtId="170" fontId="0" fillId="0" borderId="70" xfId="0" applyNumberFormat="1" applyBorder="1" applyAlignment="1">
      <alignment horizontal="center" vertical="center"/>
    </xf>
    <xf numFmtId="170" fontId="0" fillId="0" borderId="71" xfId="0" applyNumberFormat="1" applyBorder="1" applyAlignment="1">
      <alignment horizontal="center" vertical="center"/>
    </xf>
    <xf numFmtId="170" fontId="0" fillId="0" borderId="72" xfId="0" applyNumberFormat="1" applyBorder="1" applyAlignment="1">
      <alignment horizontal="center" vertical="center"/>
    </xf>
    <xf numFmtId="170" fontId="1" fillId="2" borderId="73" xfId="0" applyNumberFormat="1" applyFont="1" applyFill="1" applyBorder="1" applyAlignment="1">
      <alignment horizontal="center" vertical="center"/>
    </xf>
    <xf numFmtId="170" fontId="0" fillId="0" borderId="74" xfId="0" applyNumberFormat="1" applyBorder="1" applyAlignment="1">
      <alignment horizontal="center" vertical="center"/>
    </xf>
    <xf numFmtId="170" fontId="0" fillId="0" borderId="75" xfId="0" applyNumberFormat="1" applyBorder="1" applyAlignment="1">
      <alignment horizontal="center" vertical="center"/>
    </xf>
    <xf numFmtId="0" fontId="0" fillId="0" borderId="71" xfId="0" applyBorder="1" applyAlignment="1">
      <alignment horizontal="center" vertical="center"/>
    </xf>
    <xf numFmtId="0" fontId="0" fillId="0" borderId="73" xfId="0" applyBorder="1" applyAlignment="1">
      <alignment horizontal="center" vertical="center"/>
    </xf>
    <xf numFmtId="0" fontId="36" fillId="0" borderId="11" xfId="0" applyFont="1" applyBorder="1" applyAlignment="1">
      <alignment horizontal="center"/>
    </xf>
    <xf numFmtId="0" fontId="36" fillId="0" borderId="13" xfId="0" applyFont="1" applyBorder="1" applyAlignment="1">
      <alignment horizontal="center"/>
    </xf>
    <xf numFmtId="0" fontId="46" fillId="0" borderId="0" xfId="0" applyFont="1" applyAlignment="1">
      <alignment horizontal="center"/>
    </xf>
    <xf numFmtId="0" fontId="36" fillId="0" borderId="0" xfId="0" applyFont="1" applyAlignment="1">
      <alignment horizontal="center"/>
    </xf>
    <xf numFmtId="170" fontId="63" fillId="4" borderId="23" xfId="0" applyNumberFormat="1" applyFont="1" applyFill="1" applyBorder="1"/>
    <xf numFmtId="170" fontId="63" fillId="4" borderId="15" xfId="0" applyNumberFormat="1" applyFont="1" applyFill="1" applyBorder="1"/>
    <xf numFmtId="170" fontId="63" fillId="4" borderId="25" xfId="0" applyNumberFormat="1" applyFont="1" applyFill="1" applyBorder="1"/>
    <xf numFmtId="170" fontId="63" fillId="4" borderId="19" xfId="0" applyNumberFormat="1" applyFont="1" applyFill="1" applyBorder="1"/>
    <xf numFmtId="0" fontId="64" fillId="0" borderId="5" xfId="0" applyFont="1" applyBorder="1" applyAlignment="1">
      <alignment horizontal="left" indent="1"/>
    </xf>
    <xf numFmtId="0" fontId="65" fillId="0" borderId="0" xfId="0" applyFont="1" applyAlignment="1">
      <alignment horizontal="center"/>
    </xf>
    <xf numFmtId="170" fontId="63" fillId="4" borderId="11" xfId="0" applyNumberFormat="1" applyFont="1" applyFill="1" applyBorder="1"/>
    <xf numFmtId="0" fontId="0" fillId="0" borderId="76" xfId="0" applyBorder="1" applyAlignment="1">
      <alignment horizontal="center" vertical="center"/>
    </xf>
    <xf numFmtId="170" fontId="0" fillId="0" borderId="77" xfId="0" applyNumberFormat="1" applyBorder="1" applyAlignment="1">
      <alignment horizontal="center" vertical="center"/>
    </xf>
    <xf numFmtId="170" fontId="0" fillId="0" borderId="78" xfId="0" applyNumberFormat="1" applyBorder="1" applyAlignment="1">
      <alignment horizontal="center" vertical="center"/>
    </xf>
    <xf numFmtId="170" fontId="0" fillId="0" borderId="76" xfId="0" applyNumberFormat="1" applyBorder="1" applyAlignment="1">
      <alignment horizontal="center" vertical="center"/>
    </xf>
    <xf numFmtId="0" fontId="57" fillId="0" borderId="0" xfId="0" applyFont="1" applyFill="1" applyBorder="1" applyAlignment="1">
      <alignment horizontal="center" vertical="center"/>
    </xf>
    <xf numFmtId="0" fontId="41" fillId="2" borderId="79" xfId="0" applyFont="1" applyFill="1" applyBorder="1" applyAlignment="1">
      <alignment horizontal="center"/>
    </xf>
    <xf numFmtId="0" fontId="6" fillId="2" borderId="79" xfId="0" applyFont="1" applyFill="1" applyBorder="1"/>
    <xf numFmtId="0" fontId="0" fillId="2" borderId="79" xfId="0" applyFill="1" applyBorder="1"/>
    <xf numFmtId="0" fontId="4" fillId="2" borderId="79" xfId="0" applyFont="1" applyFill="1" applyBorder="1"/>
    <xf numFmtId="0" fontId="41" fillId="2" borderId="34" xfId="0" applyFont="1" applyFill="1" applyBorder="1" applyAlignment="1">
      <alignment horizontal="center"/>
    </xf>
    <xf numFmtId="0" fontId="6" fillId="2" borderId="34" xfId="0" applyFont="1" applyFill="1" applyBorder="1"/>
    <xf numFmtId="0" fontId="0" fillId="2" borderId="34" xfId="0" applyFill="1" applyBorder="1"/>
    <xf numFmtId="0" fontId="4" fillId="2" borderId="34" xfId="0" applyFont="1" applyFill="1" applyBorder="1"/>
    <xf numFmtId="0" fontId="46" fillId="2" borderId="34" xfId="0" applyFont="1" applyFill="1" applyBorder="1"/>
    <xf numFmtId="0" fontId="20" fillId="2" borderId="34" xfId="0" applyFont="1" applyFill="1" applyBorder="1" applyAlignment="1">
      <alignment horizontal="right" indent="2"/>
    </xf>
    <xf numFmtId="0" fontId="36" fillId="2" borderId="34" xfId="0" applyFont="1" applyFill="1" applyBorder="1"/>
    <xf numFmtId="0" fontId="9" fillId="2" borderId="34" xfId="0" applyFont="1" applyFill="1" applyBorder="1" applyAlignment="1">
      <alignment horizontal="left" indent="1"/>
    </xf>
    <xf numFmtId="0" fontId="38" fillId="2" borderId="34" xfId="0" applyFont="1" applyFill="1" applyBorder="1"/>
    <xf numFmtId="0" fontId="41" fillId="2" borderId="54" xfId="0" applyFont="1" applyFill="1" applyBorder="1" applyAlignment="1">
      <alignment horizontal="center"/>
    </xf>
    <xf numFmtId="0" fontId="0" fillId="2" borderId="54" xfId="0" applyFill="1" applyBorder="1"/>
    <xf numFmtId="0" fontId="4" fillId="2" borderId="54" xfId="0" applyFont="1" applyFill="1" applyBorder="1"/>
    <xf numFmtId="0" fontId="41" fillId="2" borderId="0" xfId="0" applyFont="1" applyFill="1" applyAlignment="1">
      <alignment horizontal="center"/>
    </xf>
    <xf numFmtId="0" fontId="35" fillId="2" borderId="0" xfId="0" applyFont="1" applyFill="1"/>
    <xf numFmtId="0" fontId="66" fillId="2" borderId="79" xfId="0" applyFont="1" applyFill="1" applyBorder="1"/>
    <xf numFmtId="0" fontId="67" fillId="2" borderId="34" xfId="0" applyFont="1" applyFill="1" applyBorder="1"/>
    <xf numFmtId="0" fontId="66" fillId="2" borderId="34" xfId="0" applyFont="1" applyFill="1" applyBorder="1" applyAlignment="1">
      <alignment horizontal="left"/>
    </xf>
    <xf numFmtId="0" fontId="67" fillId="2" borderId="34" xfId="0" applyFont="1" applyFill="1" applyBorder="1" applyAlignment="1">
      <alignment horizontal="left"/>
    </xf>
    <xf numFmtId="0" fontId="66" fillId="2" borderId="34" xfId="0" applyFont="1" applyFill="1" applyBorder="1"/>
    <xf numFmtId="0" fontId="31" fillId="2" borderId="34" xfId="0" applyFont="1" applyFill="1" applyBorder="1" applyAlignment="1">
      <alignment horizontal="left"/>
    </xf>
    <xf numFmtId="0" fontId="54" fillId="2" borderId="54" xfId="0" applyFont="1" applyFill="1" applyBorder="1" applyAlignment="1" applyProtection="1">
      <alignment vertical="top"/>
    </xf>
    <xf numFmtId="0" fontId="63" fillId="2" borderId="32" xfId="0" applyFont="1" applyFill="1" applyBorder="1"/>
    <xf numFmtId="0" fontId="4" fillId="2" borderId="0" xfId="0" applyFont="1" applyFill="1" applyAlignment="1">
      <alignment vertical="top"/>
    </xf>
    <xf numFmtId="0" fontId="19" fillId="2" borderId="0" xfId="0" applyFont="1" applyFill="1" applyAlignment="1">
      <alignment horizontal="center"/>
    </xf>
    <xf numFmtId="0" fontId="41" fillId="2" borderId="0" xfId="0" applyFont="1" applyFill="1" applyBorder="1" applyAlignment="1">
      <alignment horizontal="center"/>
    </xf>
    <xf numFmtId="0" fontId="9" fillId="4" borderId="53" xfId="0" applyFont="1" applyFill="1" applyBorder="1" applyAlignment="1">
      <alignment horizontal="center" vertical="top" wrapText="1"/>
    </xf>
    <xf numFmtId="0" fontId="9" fillId="5" borderId="80" xfId="0" applyFont="1" applyFill="1" applyBorder="1" applyAlignment="1">
      <alignment horizontal="center" vertical="top" wrapText="1"/>
    </xf>
    <xf numFmtId="0" fontId="9" fillId="4" borderId="20" xfId="0" applyFont="1" applyFill="1" applyBorder="1" applyAlignment="1">
      <alignment horizontal="center" vertical="top" wrapText="1"/>
    </xf>
    <xf numFmtId="171" fontId="63" fillId="4" borderId="81" xfId="0" applyNumberFormat="1" applyFont="1" applyFill="1" applyBorder="1"/>
    <xf numFmtId="171" fontId="63" fillId="4" borderId="82" xfId="0" applyNumberFormat="1" applyFont="1" applyFill="1" applyBorder="1"/>
    <xf numFmtId="171" fontId="63" fillId="4" borderId="83" xfId="0" applyNumberFormat="1" applyFont="1" applyFill="1" applyBorder="1"/>
    <xf numFmtId="0" fontId="46" fillId="0" borderId="0" xfId="0" applyFont="1" applyAlignment="1"/>
    <xf numFmtId="9" fontId="8" fillId="0" borderId="0" xfId="0" applyNumberFormat="1" applyFont="1" applyAlignment="1"/>
    <xf numFmtId="0" fontId="0" fillId="0" borderId="0" xfId="0" applyAlignment="1"/>
    <xf numFmtId="9" fontId="4" fillId="0" borderId="0" xfId="0" applyNumberFormat="1" applyFont="1" applyAlignment="1"/>
    <xf numFmtId="0" fontId="45" fillId="2" borderId="40" xfId="0" applyNumberFormat="1" applyFont="1" applyFill="1" applyBorder="1" applyAlignment="1">
      <alignment horizontal="center"/>
    </xf>
    <xf numFmtId="0" fontId="45" fillId="2" borderId="31" xfId="0" applyNumberFormat="1" applyFont="1" applyFill="1" applyBorder="1" applyAlignment="1">
      <alignment horizontal="center"/>
    </xf>
    <xf numFmtId="0" fontId="45" fillId="2" borderId="56" xfId="0" applyNumberFormat="1" applyFont="1" applyFill="1" applyBorder="1" applyAlignment="1">
      <alignment horizontal="center"/>
    </xf>
    <xf numFmtId="0" fontId="45" fillId="2" borderId="42" xfId="0" applyNumberFormat="1" applyFont="1" applyFill="1" applyBorder="1" applyAlignment="1">
      <alignment horizontal="center"/>
    </xf>
    <xf numFmtId="0" fontId="45" fillId="2" borderId="32" xfId="0" applyNumberFormat="1" applyFont="1" applyFill="1" applyBorder="1" applyAlignment="1">
      <alignment horizontal="center"/>
    </xf>
    <xf numFmtId="0" fontId="45" fillId="2" borderId="41" xfId="0" applyNumberFormat="1" applyFont="1" applyFill="1" applyBorder="1" applyAlignment="1">
      <alignment horizontal="center"/>
    </xf>
    <xf numFmtId="0" fontId="45" fillId="4" borderId="44" xfId="0" applyNumberFormat="1" applyFont="1" applyFill="1" applyBorder="1" applyAlignment="1">
      <alignment horizontal="center"/>
    </xf>
    <xf numFmtId="0" fontId="45" fillId="4" borderId="33" xfId="0" applyNumberFormat="1" applyFont="1" applyFill="1" applyBorder="1" applyAlignment="1">
      <alignment horizontal="center"/>
    </xf>
    <xf numFmtId="0" fontId="45" fillId="4" borderId="43" xfId="0" applyNumberFormat="1" applyFont="1" applyFill="1" applyBorder="1" applyAlignment="1">
      <alignment horizontal="center"/>
    </xf>
    <xf numFmtId="0" fontId="45" fillId="9" borderId="44" xfId="0" applyNumberFormat="1" applyFont="1" applyFill="1" applyBorder="1" applyAlignment="1">
      <alignment horizontal="center"/>
    </xf>
    <xf numFmtId="0" fontId="45" fillId="9" borderId="33" xfId="0" applyNumberFormat="1" applyFont="1" applyFill="1" applyBorder="1" applyAlignment="1">
      <alignment horizontal="center"/>
    </xf>
    <xf numFmtId="0" fontId="45" fillId="9" borderId="43" xfId="0" applyNumberFormat="1" applyFont="1" applyFill="1" applyBorder="1" applyAlignment="1">
      <alignment horizontal="center"/>
    </xf>
    <xf numFmtId="0" fontId="45" fillId="2" borderId="45" xfId="0" applyNumberFormat="1" applyFont="1" applyFill="1" applyBorder="1" applyAlignment="1">
      <alignment horizontal="center"/>
    </xf>
    <xf numFmtId="0" fontId="45" fillId="2" borderId="47" xfId="0" applyNumberFormat="1" applyFont="1" applyFill="1" applyBorder="1" applyAlignment="1">
      <alignment horizontal="center"/>
    </xf>
    <xf numFmtId="0" fontId="36" fillId="2" borderId="32" xfId="0" applyFont="1" applyFill="1" applyBorder="1" applyAlignment="1">
      <alignment horizontal="center"/>
    </xf>
    <xf numFmtId="183" fontId="47" fillId="0" borderId="0" xfId="0" applyNumberFormat="1" applyFont="1" applyFill="1" applyBorder="1" applyAlignment="1">
      <alignment horizontal="center"/>
    </xf>
    <xf numFmtId="0" fontId="45" fillId="2" borderId="46" xfId="0" applyNumberFormat="1" applyFont="1" applyFill="1" applyBorder="1" applyAlignment="1">
      <alignment horizontal="center"/>
    </xf>
    <xf numFmtId="0" fontId="68" fillId="2" borderId="56" xfId="0" applyFont="1" applyFill="1" applyBorder="1" applyAlignment="1">
      <alignment horizontal="center"/>
    </xf>
    <xf numFmtId="0" fontId="69" fillId="2" borderId="56" xfId="0" applyFont="1" applyFill="1" applyBorder="1" applyAlignment="1">
      <alignment horizontal="center"/>
    </xf>
    <xf numFmtId="0" fontId="73" fillId="0" borderId="0" xfId="0" applyFont="1" applyFill="1"/>
    <xf numFmtId="0" fontId="2" fillId="0" borderId="0" xfId="0" applyFont="1" applyAlignment="1" applyProtection="1">
      <alignment horizontal="left" indent="2"/>
    </xf>
    <xf numFmtId="0" fontId="48" fillId="10" borderId="29" xfId="0" applyFont="1" applyFill="1" applyBorder="1" applyAlignment="1">
      <alignment horizontal="centerContinuous"/>
    </xf>
    <xf numFmtId="0" fontId="10" fillId="10" borderId="4" xfId="0" applyFont="1" applyFill="1" applyBorder="1" applyAlignment="1">
      <alignment horizontal="centerContinuous"/>
    </xf>
    <xf numFmtId="0" fontId="10" fillId="10" borderId="3" xfId="0" applyFont="1" applyFill="1" applyBorder="1" applyAlignment="1">
      <alignment horizontal="centerContinuous"/>
    </xf>
    <xf numFmtId="0" fontId="9" fillId="10" borderId="29" xfId="0" applyFont="1" applyFill="1" applyBorder="1" applyAlignment="1">
      <alignment horizontal="centerContinuous"/>
    </xf>
    <xf numFmtId="0" fontId="0" fillId="10" borderId="29" xfId="0" applyFill="1" applyBorder="1" applyAlignment="1">
      <alignment horizontal="centerContinuous"/>
    </xf>
    <xf numFmtId="0" fontId="0" fillId="10" borderId="4" xfId="0" applyFill="1" applyBorder="1" applyAlignment="1">
      <alignment horizontal="centerContinuous"/>
    </xf>
    <xf numFmtId="0" fontId="0" fillId="10" borderId="80" xfId="0" applyFill="1" applyBorder="1" applyAlignment="1">
      <alignment horizontal="centerContinuous"/>
    </xf>
    <xf numFmtId="0" fontId="9" fillId="10" borderId="84" xfId="0" applyFont="1" applyFill="1" applyBorder="1" applyAlignment="1">
      <alignment horizontal="centerContinuous"/>
    </xf>
    <xf numFmtId="2" fontId="20" fillId="10" borderId="24" xfId="0" applyNumberFormat="1" applyFont="1" applyFill="1" applyBorder="1" applyAlignment="1" applyProtection="1">
      <alignment horizontal="center"/>
    </xf>
    <xf numFmtId="171" fontId="20" fillId="10" borderId="12" xfId="0" applyNumberFormat="1" applyFont="1" applyFill="1" applyBorder="1" applyAlignment="1" applyProtection="1">
      <alignment horizontal="right"/>
    </xf>
    <xf numFmtId="182" fontId="20" fillId="10" borderId="85" xfId="0" applyNumberFormat="1" applyFont="1" applyFill="1" applyBorder="1" applyAlignment="1" applyProtection="1">
      <alignment horizontal="right"/>
    </xf>
    <xf numFmtId="0" fontId="0" fillId="0" borderId="0" xfId="0" applyFill="1" applyBorder="1" applyAlignment="1">
      <alignment horizontal="left" vertical="top"/>
    </xf>
    <xf numFmtId="0" fontId="12" fillId="0" borderId="0" xfId="0" applyFont="1" applyFill="1" applyAlignment="1">
      <alignment horizontal="right" vertical="top"/>
    </xf>
    <xf numFmtId="0" fontId="74" fillId="0" borderId="0" xfId="0" applyFont="1" applyFill="1" applyProtection="1"/>
    <xf numFmtId="0" fontId="74" fillId="0" borderId="0" xfId="0" applyFont="1" applyFill="1" applyAlignment="1">
      <alignment horizontal="right"/>
    </xf>
    <xf numFmtId="0" fontId="15" fillId="2" borderId="0" xfId="0" applyFont="1" applyFill="1" applyAlignment="1">
      <alignment horizontal="right"/>
    </xf>
    <xf numFmtId="0" fontId="28" fillId="12" borderId="67" xfId="0" applyFont="1" applyFill="1" applyBorder="1" applyAlignment="1">
      <alignment horizontal="center" wrapText="1"/>
    </xf>
    <xf numFmtId="0" fontId="28" fillId="12" borderId="30" xfId="0" applyFont="1" applyFill="1" applyBorder="1" applyAlignment="1">
      <alignment horizontal="center" wrapText="1"/>
    </xf>
    <xf numFmtId="0" fontId="28" fillId="12" borderId="47" xfId="0" applyFont="1" applyFill="1" applyBorder="1" applyAlignment="1">
      <alignment horizontal="center" wrapText="1"/>
    </xf>
    <xf numFmtId="0" fontId="35" fillId="2" borderId="51" xfId="0" applyFont="1" applyFill="1" applyBorder="1" applyAlignment="1">
      <alignment horizontal="center"/>
    </xf>
    <xf numFmtId="0" fontId="35" fillId="3" borderId="36" xfId="0" applyFont="1" applyFill="1" applyBorder="1" applyAlignment="1">
      <alignment horizontal="center"/>
    </xf>
    <xf numFmtId="0" fontId="35" fillId="2" borderId="52" xfId="0" applyFont="1" applyFill="1" applyBorder="1" applyAlignment="1">
      <alignment horizontal="center"/>
    </xf>
    <xf numFmtId="0" fontId="35" fillId="2" borderId="60" xfId="0" applyNumberFormat="1" applyFont="1" applyFill="1" applyBorder="1" applyAlignment="1">
      <alignment horizontal="center"/>
    </xf>
    <xf numFmtId="0" fontId="27" fillId="12" borderId="47" xfId="0" applyFont="1" applyFill="1" applyBorder="1" applyAlignment="1">
      <alignment horizontal="center" wrapText="1"/>
    </xf>
    <xf numFmtId="0" fontId="28" fillId="6" borderId="47" xfId="0" applyFont="1" applyFill="1" applyBorder="1" applyAlignment="1">
      <alignment horizontal="center" wrapText="1"/>
    </xf>
    <xf numFmtId="0" fontId="28" fillId="3" borderId="47" xfId="0" applyFont="1" applyFill="1" applyBorder="1" applyAlignment="1">
      <alignment horizontal="center" wrapText="1"/>
    </xf>
    <xf numFmtId="0" fontId="27" fillId="6" borderId="47" xfId="0" applyFont="1" applyFill="1" applyBorder="1" applyAlignment="1">
      <alignment horizontal="center" wrapText="1"/>
    </xf>
    <xf numFmtId="0" fontId="51" fillId="9" borderId="30" xfId="0" applyFont="1" applyFill="1" applyBorder="1" applyAlignment="1">
      <alignment horizontal="center" wrapText="1"/>
    </xf>
    <xf numFmtId="0" fontId="2" fillId="9" borderId="45" xfId="0" applyFont="1" applyFill="1" applyBorder="1" applyAlignment="1">
      <alignment horizontal="center" wrapText="1"/>
    </xf>
    <xf numFmtId="0" fontId="2" fillId="9" borderId="47" xfId="0" applyFont="1" applyFill="1" applyBorder="1" applyAlignment="1">
      <alignment horizontal="center" wrapText="1"/>
    </xf>
    <xf numFmtId="0" fontId="41" fillId="2" borderId="52" xfId="0" applyFont="1" applyFill="1" applyBorder="1" applyAlignment="1">
      <alignment horizontal="center"/>
    </xf>
    <xf numFmtId="0" fontId="41" fillId="2" borderId="41" xfId="0" applyFont="1" applyFill="1" applyBorder="1" applyAlignment="1">
      <alignment horizontal="center"/>
    </xf>
    <xf numFmtId="0" fontId="41" fillId="2" borderId="43" xfId="0" applyFont="1" applyFill="1" applyBorder="1" applyAlignment="1">
      <alignment horizontal="center"/>
    </xf>
    <xf numFmtId="0" fontId="11" fillId="2" borderId="87" xfId="0" applyFont="1" applyFill="1" applyBorder="1"/>
    <xf numFmtId="0" fontId="11" fillId="2" borderId="62" xfId="0" applyFont="1" applyFill="1" applyBorder="1"/>
    <xf numFmtId="0" fontId="11" fillId="2" borderId="63" xfId="0" applyFont="1" applyFill="1" applyBorder="1"/>
    <xf numFmtId="0" fontId="5" fillId="2" borderId="0" xfId="0" applyFont="1" applyFill="1"/>
    <xf numFmtId="0" fontId="0" fillId="12" borderId="0" xfId="0" applyFill="1"/>
    <xf numFmtId="0" fontId="76" fillId="0" borderId="0" xfId="0" applyFont="1"/>
    <xf numFmtId="0" fontId="2" fillId="0" borderId="0" xfId="0" applyFont="1" applyAlignment="1">
      <alignment horizontal="left" indent="1"/>
    </xf>
    <xf numFmtId="0" fontId="36" fillId="0" borderId="0" xfId="0" applyFont="1"/>
    <xf numFmtId="176" fontId="36" fillId="0" borderId="0" xfId="0" applyNumberFormat="1" applyFont="1" applyAlignment="1">
      <alignment vertical="top"/>
    </xf>
    <xf numFmtId="0" fontId="36" fillId="0" borderId="0" xfId="0" applyFont="1" applyAlignment="1">
      <alignment vertical="top" wrapText="1"/>
    </xf>
    <xf numFmtId="0" fontId="36" fillId="0" borderId="0" xfId="0" applyFont="1" applyAlignment="1">
      <alignment vertical="top"/>
    </xf>
    <xf numFmtId="0" fontId="36" fillId="0" borderId="0" xfId="0" applyFont="1" applyFill="1" applyAlignment="1">
      <alignment vertical="top" wrapText="1"/>
    </xf>
    <xf numFmtId="0" fontId="7" fillId="0" borderId="0" xfId="0" applyFont="1" applyAlignment="1">
      <alignment vertical="top" wrapText="1"/>
    </xf>
    <xf numFmtId="0" fontId="36" fillId="0" borderId="29" xfId="0" applyFont="1" applyBorder="1"/>
    <xf numFmtId="0" fontId="36" fillId="0" borderId="0" xfId="0" applyFont="1" applyAlignment="1">
      <alignment horizontal="right"/>
    </xf>
    <xf numFmtId="164" fontId="7" fillId="0" borderId="86" xfId="0" applyNumberFormat="1" applyFont="1" applyBorder="1" applyAlignment="1">
      <alignment horizontal="center"/>
    </xf>
    <xf numFmtId="165" fontId="0" fillId="4" borderId="10" xfId="0" applyNumberFormat="1" applyFill="1" applyBorder="1"/>
    <xf numFmtId="165" fontId="0" fillId="4" borderId="28" xfId="0" applyNumberFormat="1" applyFill="1" applyBorder="1"/>
    <xf numFmtId="165" fontId="0" fillId="4" borderId="86" xfId="0" applyNumberFormat="1" applyFill="1" applyBorder="1"/>
    <xf numFmtId="0" fontId="7" fillId="5" borderId="0" xfId="0" applyFont="1" applyFill="1" applyAlignment="1">
      <alignment horizontal="right" indent="1"/>
    </xf>
    <xf numFmtId="0" fontId="47" fillId="6" borderId="0" xfId="0" quotePrefix="1" applyFont="1" applyFill="1" applyAlignment="1">
      <alignment wrapText="1"/>
    </xf>
    <xf numFmtId="0" fontId="49" fillId="2" borderId="52" xfId="0" quotePrefix="1" applyFont="1" applyFill="1" applyBorder="1" applyAlignment="1"/>
    <xf numFmtId="165" fontId="20" fillId="10" borderId="16" xfId="0" applyNumberFormat="1" applyFont="1" applyFill="1" applyBorder="1" applyAlignment="1" applyProtection="1">
      <alignment horizontal="right"/>
    </xf>
    <xf numFmtId="165" fontId="20" fillId="10" borderId="12" xfId="0" applyNumberFormat="1" applyFont="1" applyFill="1" applyBorder="1" applyAlignment="1" applyProtection="1">
      <alignment horizontal="right"/>
    </xf>
    <xf numFmtId="0" fontId="54" fillId="13" borderId="79" xfId="0" quotePrefix="1" applyFont="1" applyFill="1" applyBorder="1"/>
    <xf numFmtId="0" fontId="54" fillId="13" borderId="34" xfId="0" quotePrefix="1" applyFont="1" applyFill="1" applyBorder="1" applyAlignment="1">
      <alignment horizontal="left"/>
    </xf>
    <xf numFmtId="0" fontId="54" fillId="13" borderId="34" xfId="0" quotePrefix="1" applyFont="1" applyFill="1" applyBorder="1"/>
    <xf numFmtId="0" fontId="54" fillId="15" borderId="0" xfId="0" quotePrefix="1" applyFont="1" applyFill="1" applyAlignment="1">
      <alignment horizontal="left"/>
    </xf>
    <xf numFmtId="0" fontId="54" fillId="15" borderId="54" xfId="0" quotePrefix="1" applyFont="1" applyFill="1" applyBorder="1" applyAlignment="1" applyProtection="1">
      <alignment vertical="top"/>
    </xf>
    <xf numFmtId="0" fontId="36" fillId="0" borderId="0" xfId="0" quotePrefix="1" applyFont="1"/>
    <xf numFmtId="0" fontId="78" fillId="2" borderId="0" xfId="0" applyFont="1" applyFill="1"/>
    <xf numFmtId="167" fontId="19" fillId="11" borderId="95" xfId="0" applyNumberFormat="1" applyFont="1" applyFill="1" applyBorder="1" applyAlignment="1" applyProtection="1">
      <alignment horizontal="center"/>
      <protection locked="0"/>
    </xf>
    <xf numFmtId="167" fontId="20" fillId="11" borderId="96" xfId="0" applyNumberFormat="1" applyFont="1" applyFill="1" applyBorder="1" applyAlignment="1" applyProtection="1">
      <alignment horizontal="center"/>
      <protection locked="0"/>
    </xf>
    <xf numFmtId="2" fontId="20" fillId="10" borderId="95" xfId="0" applyNumberFormat="1" applyFont="1" applyFill="1" applyBorder="1" applyAlignment="1" applyProtection="1">
      <alignment horizontal="center"/>
    </xf>
    <xf numFmtId="171" fontId="20" fillId="10" borderId="96" xfId="0" applyNumberFormat="1" applyFont="1" applyFill="1" applyBorder="1" applyAlignment="1" applyProtection="1">
      <alignment horizontal="right"/>
    </xf>
    <xf numFmtId="165" fontId="20" fillId="10" borderId="98" xfId="0" applyNumberFormat="1" applyFont="1" applyFill="1" applyBorder="1" applyAlignment="1" applyProtection="1">
      <alignment horizontal="right"/>
    </xf>
    <xf numFmtId="165" fontId="20" fillId="10" borderId="96" xfId="0" applyNumberFormat="1" applyFont="1" applyFill="1" applyBorder="1" applyAlignment="1" applyProtection="1">
      <alignment horizontal="right"/>
    </xf>
    <xf numFmtId="182" fontId="20" fillId="10" borderId="99" xfId="0" applyNumberFormat="1" applyFont="1" applyFill="1" applyBorder="1" applyAlignment="1" applyProtection="1">
      <alignment horizontal="right"/>
    </xf>
    <xf numFmtId="167" fontId="19" fillId="11" borderId="24" xfId="0" applyNumberFormat="1" applyFont="1" applyFill="1" applyBorder="1" applyAlignment="1" applyProtection="1">
      <alignment horizontal="center"/>
      <protection locked="0"/>
    </xf>
    <xf numFmtId="167" fontId="20" fillId="11" borderId="12" xfId="0" applyNumberFormat="1" applyFont="1" applyFill="1" applyBorder="1" applyAlignment="1" applyProtection="1">
      <alignment horizontal="center"/>
      <protection locked="0"/>
    </xf>
    <xf numFmtId="0" fontId="10" fillId="10" borderId="101" xfId="0" applyFont="1" applyFill="1" applyBorder="1" applyAlignment="1">
      <alignment horizontal="centerContinuous"/>
    </xf>
    <xf numFmtId="0" fontId="0" fillId="10" borderId="101" xfId="0" applyFill="1" applyBorder="1" applyAlignment="1">
      <alignment horizontal="centerContinuous"/>
    </xf>
    <xf numFmtId="0" fontId="0" fillId="10" borderId="102" xfId="0" applyFill="1" applyBorder="1" applyAlignment="1">
      <alignment horizontal="centerContinuous"/>
    </xf>
    <xf numFmtId="0" fontId="9" fillId="10" borderId="105" xfId="0" applyFont="1" applyFill="1" applyBorder="1" applyAlignment="1">
      <alignment horizontal="centerContinuous"/>
    </xf>
    <xf numFmtId="0" fontId="9" fillId="10" borderId="106" xfId="0" applyFont="1" applyFill="1" applyBorder="1" applyAlignment="1">
      <alignment horizontal="center"/>
    </xf>
    <xf numFmtId="166" fontId="77" fillId="11" borderId="110" xfId="0" applyNumberFormat="1" applyFont="1" applyFill="1" applyBorder="1" applyAlignment="1" applyProtection="1">
      <alignment horizontal="left" vertical="top" indent="1"/>
    </xf>
    <xf numFmtId="2" fontId="71" fillId="10" borderId="111" xfId="0" quotePrefix="1" applyNumberFormat="1" applyFont="1" applyFill="1" applyBorder="1" applyAlignment="1" applyProtection="1">
      <alignment horizontal="left"/>
    </xf>
    <xf numFmtId="2" fontId="71" fillId="10" borderId="112" xfId="0" quotePrefix="1" applyNumberFormat="1" applyFont="1" applyFill="1" applyBorder="1" applyAlignment="1" applyProtection="1">
      <alignment horizontal="left"/>
    </xf>
    <xf numFmtId="166" fontId="77" fillId="11" borderId="113" xfId="0" applyNumberFormat="1" applyFont="1" applyFill="1" applyBorder="1" applyAlignment="1" applyProtection="1">
      <alignment horizontal="left" vertical="top" indent="1"/>
    </xf>
    <xf numFmtId="167" fontId="19" fillId="11" borderId="117" xfId="0" applyNumberFormat="1" applyFont="1" applyFill="1" applyBorder="1" applyAlignment="1" applyProtection="1">
      <alignment horizontal="center"/>
      <protection locked="0"/>
    </xf>
    <xf numFmtId="167" fontId="20" fillId="11" borderId="118" xfId="0" applyNumberFormat="1" applyFont="1" applyFill="1" applyBorder="1" applyAlignment="1" applyProtection="1">
      <alignment horizontal="center"/>
      <protection locked="0"/>
    </xf>
    <xf numFmtId="2" fontId="20" fillId="10" borderId="117" xfId="0" applyNumberFormat="1" applyFont="1" applyFill="1" applyBorder="1" applyAlignment="1" applyProtection="1">
      <alignment horizontal="center"/>
    </xf>
    <xf numFmtId="171" fontId="20" fillId="10" borderId="118" xfId="0" applyNumberFormat="1" applyFont="1" applyFill="1" applyBorder="1" applyAlignment="1" applyProtection="1">
      <alignment horizontal="right"/>
    </xf>
    <xf numFmtId="165" fontId="20" fillId="10" borderId="120" xfId="0" applyNumberFormat="1" applyFont="1" applyFill="1" applyBorder="1" applyAlignment="1" applyProtection="1">
      <alignment horizontal="right"/>
    </xf>
    <xf numFmtId="165" fontId="20" fillId="10" borderId="118" xfId="0" applyNumberFormat="1" applyFont="1" applyFill="1" applyBorder="1" applyAlignment="1" applyProtection="1">
      <alignment horizontal="right"/>
    </xf>
    <xf numFmtId="182" fontId="20" fillId="10" borderId="121" xfId="0" applyNumberFormat="1" applyFont="1" applyFill="1" applyBorder="1" applyAlignment="1" applyProtection="1">
      <alignment horizontal="right"/>
    </xf>
    <xf numFmtId="2" fontId="71" fillId="10" borderId="122" xfId="0" quotePrefix="1" applyNumberFormat="1" applyFont="1" applyFill="1" applyBorder="1" applyAlignment="1" applyProtection="1">
      <alignment horizontal="left"/>
    </xf>
    <xf numFmtId="0" fontId="43" fillId="0" borderId="1" xfId="0" applyFont="1" applyBorder="1" applyAlignment="1">
      <alignment horizontal="left"/>
    </xf>
    <xf numFmtId="0" fontId="36" fillId="0" borderId="0" xfId="2"/>
    <xf numFmtId="0" fontId="78" fillId="2" borderId="0" xfId="2" applyFont="1" applyFill="1"/>
    <xf numFmtId="0" fontId="0" fillId="0" borderId="123" xfId="0" applyFill="1" applyBorder="1"/>
    <xf numFmtId="0" fontId="0" fillId="0" borderId="123" xfId="0" applyBorder="1"/>
    <xf numFmtId="0" fontId="32" fillId="0" borderId="123" xfId="0" applyFont="1" applyFill="1" applyBorder="1"/>
    <xf numFmtId="0" fontId="32" fillId="0" borderId="123" xfId="0" applyFont="1" applyBorder="1"/>
    <xf numFmtId="0" fontId="0" fillId="16" borderId="0" xfId="0" applyFill="1"/>
    <xf numFmtId="0" fontId="75" fillId="16" borderId="0" xfId="0" quotePrefix="1" applyFont="1" applyFill="1"/>
    <xf numFmtId="0" fontId="4" fillId="16" borderId="0" xfId="0" applyFont="1" applyFill="1"/>
    <xf numFmtId="0" fontId="0" fillId="16" borderId="0" xfId="0" applyFill="1" applyProtection="1">
      <protection locked="0"/>
    </xf>
    <xf numFmtId="0" fontId="36" fillId="16" borderId="0" xfId="0" applyFont="1" applyFill="1"/>
    <xf numFmtId="0" fontId="0" fillId="16" borderId="0" xfId="0" applyFill="1" applyProtection="1"/>
    <xf numFmtId="0" fontId="75" fillId="16" borderId="125" xfId="0" applyFont="1" applyFill="1" applyBorder="1"/>
    <xf numFmtId="0" fontId="18" fillId="16" borderId="125" xfId="0" applyFont="1" applyFill="1" applyBorder="1"/>
    <xf numFmtId="0" fontId="0" fillId="16" borderId="125" xfId="0" applyFill="1" applyBorder="1"/>
    <xf numFmtId="0" fontId="29" fillId="0" borderId="134" xfId="0" applyFont="1" applyFill="1" applyBorder="1" applyAlignment="1">
      <alignment horizontal="center" vertical="center"/>
    </xf>
    <xf numFmtId="0" fontId="29" fillId="0" borderId="135" xfId="0" applyFont="1" applyFill="1" applyBorder="1" applyAlignment="1">
      <alignment horizontal="center" vertical="center"/>
    </xf>
    <xf numFmtId="0" fontId="29" fillId="0" borderId="136" xfId="0" applyFont="1" applyFill="1" applyBorder="1" applyAlignment="1">
      <alignment horizontal="center" vertical="center"/>
    </xf>
    <xf numFmtId="0" fontId="15" fillId="0" borderId="0" xfId="0" applyFont="1"/>
    <xf numFmtId="0" fontId="15" fillId="0" borderId="0" xfId="0" applyFont="1" applyAlignment="1">
      <alignment horizontal="center"/>
    </xf>
    <xf numFmtId="0" fontId="9" fillId="10" borderId="100" xfId="0" applyFont="1" applyFill="1" applyBorder="1" applyAlignment="1">
      <alignment horizontal="centerContinuous" vertical="center"/>
    </xf>
    <xf numFmtId="0" fontId="42" fillId="17" borderId="34" xfId="0" quotePrefix="1" applyFont="1" applyFill="1" applyBorder="1"/>
    <xf numFmtId="0" fontId="12" fillId="17" borderId="34" xfId="0" quotePrefix="1" applyFont="1" applyFill="1" applyBorder="1" applyAlignment="1">
      <alignment horizontal="left"/>
    </xf>
    <xf numFmtId="0" fontId="31" fillId="17" borderId="34" xfId="0" quotePrefix="1" applyFont="1" applyFill="1" applyBorder="1" applyAlignment="1">
      <alignment horizontal="left"/>
    </xf>
    <xf numFmtId="0" fontId="42" fillId="17" borderId="34" xfId="0" quotePrefix="1" applyFont="1" applyFill="1" applyBorder="1" applyAlignment="1">
      <alignment horizontal="left"/>
    </xf>
    <xf numFmtId="169" fontId="70" fillId="2" borderId="128" xfId="0" applyNumberFormat="1" applyFont="1" applyFill="1" applyBorder="1" applyAlignment="1" applyProtection="1">
      <alignment horizontal="center" vertical="center"/>
    </xf>
    <xf numFmtId="0" fontId="42" fillId="8" borderId="141" xfId="0" applyFont="1" applyFill="1" applyBorder="1" applyAlignment="1" applyProtection="1">
      <alignment horizontal="centerContinuous"/>
    </xf>
    <xf numFmtId="0" fontId="42" fillId="8" borderId="142" xfId="0" applyFont="1" applyFill="1" applyBorder="1" applyAlignment="1" applyProtection="1">
      <alignment horizontal="centerContinuous"/>
    </xf>
    <xf numFmtId="0" fontId="85" fillId="8" borderId="140" xfId="0" applyFont="1" applyFill="1" applyBorder="1" applyAlignment="1" applyProtection="1">
      <alignment horizontal="centerContinuous" vertical="center"/>
    </xf>
    <xf numFmtId="167" fontId="19" fillId="11" borderId="24" xfId="0" applyNumberFormat="1" applyFont="1" applyFill="1" applyBorder="1" applyAlignment="1" applyProtection="1">
      <alignment horizontal="center"/>
      <protection locked="0"/>
    </xf>
    <xf numFmtId="167" fontId="20" fillId="11" borderId="12" xfId="0" applyNumberFormat="1" applyFont="1" applyFill="1" applyBorder="1" applyAlignment="1" applyProtection="1">
      <alignment horizontal="center"/>
      <protection locked="0"/>
    </xf>
    <xf numFmtId="166" fontId="87" fillId="11" borderId="27" xfId="0" applyNumberFormat="1" applyFont="1" applyFill="1" applyBorder="1" applyAlignment="1" applyProtection="1">
      <alignment horizontal="right"/>
      <protection locked="0"/>
    </xf>
    <xf numFmtId="166" fontId="87" fillId="11" borderId="114" xfId="0" applyNumberFormat="1" applyFont="1" applyFill="1" applyBorder="1" applyAlignment="1" applyProtection="1">
      <alignment horizontal="right"/>
      <protection locked="0"/>
    </xf>
    <xf numFmtId="165" fontId="88" fillId="14" borderId="94" xfId="0" applyNumberFormat="1" applyFont="1" applyFill="1" applyBorder="1" applyAlignment="1" applyProtection="1">
      <alignment horizontal="right"/>
      <protection locked="0"/>
    </xf>
    <xf numFmtId="165" fontId="88" fillId="14" borderId="35" xfId="0" applyNumberFormat="1" applyFont="1" applyFill="1" applyBorder="1" applyAlignment="1" applyProtection="1">
      <alignment horizontal="right"/>
      <protection locked="0"/>
    </xf>
    <xf numFmtId="165" fontId="88" fillId="14" borderId="115" xfId="0" applyNumberFormat="1" applyFont="1" applyFill="1" applyBorder="1" applyAlignment="1" applyProtection="1">
      <alignment horizontal="right"/>
      <protection locked="0"/>
    </xf>
    <xf numFmtId="0" fontId="36" fillId="0" borderId="0" xfId="2" applyFont="1" applyAlignment="1">
      <alignment vertical="top" wrapText="1"/>
    </xf>
    <xf numFmtId="175" fontId="89" fillId="14" borderId="96" xfId="0" applyNumberFormat="1" applyFont="1" applyFill="1" applyBorder="1" applyAlignment="1" applyProtection="1">
      <alignment horizontal="right"/>
      <protection locked="0"/>
    </xf>
    <xf numFmtId="0" fontId="89" fillId="18" borderId="68" xfId="0" applyFont="1" applyFill="1" applyBorder="1" applyAlignment="1" applyProtection="1">
      <alignment horizontal="center" vertical="center"/>
      <protection locked="0"/>
    </xf>
    <xf numFmtId="169" fontId="89" fillId="18" borderId="130" xfId="0" applyNumberFormat="1" applyFont="1" applyFill="1" applyBorder="1" applyAlignment="1" applyProtection="1">
      <alignment horizontal="center" vertical="center"/>
      <protection locked="0"/>
    </xf>
    <xf numFmtId="169" fontId="89" fillId="18" borderId="131" xfId="0" applyNumberFormat="1" applyFont="1" applyFill="1" applyBorder="1" applyAlignment="1" applyProtection="1">
      <alignment horizontal="center" vertical="center"/>
      <protection locked="0"/>
    </xf>
    <xf numFmtId="169" fontId="89" fillId="18" borderId="126" xfId="0" applyNumberFormat="1" applyFont="1" applyFill="1" applyBorder="1" applyAlignment="1" applyProtection="1">
      <alignment horizontal="center" vertical="center"/>
      <protection locked="0"/>
    </xf>
    <xf numFmtId="169" fontId="89" fillId="18" borderId="127" xfId="0" applyNumberFormat="1" applyFont="1" applyFill="1" applyBorder="1" applyAlignment="1" applyProtection="1">
      <alignment horizontal="center" vertical="center"/>
      <protection locked="0"/>
    </xf>
    <xf numFmtId="169" fontId="89" fillId="18" borderId="132" xfId="0" applyNumberFormat="1" applyFont="1" applyFill="1" applyBorder="1" applyAlignment="1" applyProtection="1">
      <alignment horizontal="center" vertical="center"/>
      <protection locked="0"/>
    </xf>
    <xf numFmtId="0" fontId="91" fillId="0" borderId="0" xfId="0" applyFont="1" applyFill="1" applyAlignment="1" applyProtection="1">
      <alignment horizontal="right"/>
      <protection locked="0"/>
    </xf>
    <xf numFmtId="165" fontId="89" fillId="14" borderId="97" xfId="0" applyNumberFormat="1" applyFont="1" applyFill="1" applyBorder="1" applyAlignment="1" applyProtection="1">
      <alignment horizontal="right"/>
      <protection locked="0"/>
    </xf>
    <xf numFmtId="165" fontId="89" fillId="14" borderId="17" xfId="0" applyNumberFormat="1" applyFont="1" applyFill="1" applyBorder="1" applyAlignment="1" applyProtection="1">
      <alignment horizontal="right"/>
      <protection locked="0"/>
    </xf>
    <xf numFmtId="165" fontId="89" fillId="14" borderId="119" xfId="0" applyNumberFormat="1" applyFont="1" applyFill="1" applyBorder="1" applyAlignment="1" applyProtection="1">
      <alignment horizontal="right"/>
      <protection locked="0"/>
    </xf>
    <xf numFmtId="168" fontId="89" fillId="14" borderId="95" xfId="0" applyNumberFormat="1" applyFont="1" applyFill="1" applyBorder="1" applyAlignment="1" applyProtection="1">
      <alignment horizontal="center"/>
      <protection locked="0"/>
    </xf>
    <xf numFmtId="2" fontId="89" fillId="14" borderId="96" xfId="0" applyNumberFormat="1" applyFont="1" applyFill="1" applyBorder="1" applyAlignment="1" applyProtection="1">
      <alignment horizontal="center"/>
      <protection locked="0"/>
    </xf>
    <xf numFmtId="175" fontId="89" fillId="14" borderId="98" xfId="0" applyNumberFormat="1" applyFont="1" applyFill="1" applyBorder="1" applyAlignment="1" applyProtection="1">
      <protection locked="0"/>
    </xf>
    <xf numFmtId="168" fontId="89" fillId="14" borderId="24" xfId="0" applyNumberFormat="1" applyFont="1" applyFill="1" applyBorder="1" applyAlignment="1" applyProtection="1">
      <alignment horizontal="center"/>
      <protection locked="0"/>
    </xf>
    <xf numFmtId="2" fontId="89" fillId="14" borderId="12" xfId="0" applyNumberFormat="1" applyFont="1" applyFill="1" applyBorder="1" applyAlignment="1" applyProtection="1">
      <alignment horizontal="center"/>
      <protection locked="0"/>
    </xf>
    <xf numFmtId="175" fontId="89" fillId="14" borderId="16" xfId="0" applyNumberFormat="1" applyFont="1" applyFill="1" applyBorder="1" applyAlignment="1" applyProtection="1">
      <protection locked="0"/>
    </xf>
    <xf numFmtId="175" fontId="89" fillId="14" borderId="12" xfId="0" applyNumberFormat="1" applyFont="1" applyFill="1" applyBorder="1" applyAlignment="1" applyProtection="1">
      <alignment horizontal="right"/>
      <protection locked="0"/>
    </xf>
    <xf numFmtId="168" fontId="89" fillId="14" borderId="117" xfId="0" applyNumberFormat="1" applyFont="1" applyFill="1" applyBorder="1" applyAlignment="1" applyProtection="1">
      <alignment horizontal="center"/>
      <protection locked="0"/>
    </xf>
    <xf numFmtId="2" fontId="89" fillId="14" borderId="118" xfId="0" applyNumberFormat="1" applyFont="1" applyFill="1" applyBorder="1" applyAlignment="1" applyProtection="1">
      <alignment horizontal="center"/>
      <protection locked="0"/>
    </xf>
    <xf numFmtId="175" fontId="89" fillId="14" borderId="120" xfId="0" applyNumberFormat="1" applyFont="1" applyFill="1" applyBorder="1" applyAlignment="1" applyProtection="1">
      <protection locked="0"/>
    </xf>
    <xf numFmtId="175" fontId="89" fillId="14" borderId="118" xfId="0" applyNumberFormat="1" applyFont="1" applyFill="1" applyBorder="1" applyAlignment="1" applyProtection="1">
      <alignment horizontal="right"/>
      <protection locked="0"/>
    </xf>
    <xf numFmtId="0" fontId="36" fillId="0" borderId="0" xfId="0" applyFont="1" applyAlignment="1">
      <alignment wrapText="1"/>
    </xf>
    <xf numFmtId="0" fontId="36" fillId="0" borderId="0" xfId="0" applyFont="1" applyAlignment="1">
      <alignment horizontal="right" vertical="top"/>
    </xf>
    <xf numFmtId="0" fontId="94" fillId="0" borderId="0" xfId="0" applyFont="1" applyAlignment="1">
      <alignment wrapText="1"/>
    </xf>
    <xf numFmtId="0" fontId="7" fillId="0" borderId="0" xfId="0" quotePrefix="1" applyFont="1"/>
    <xf numFmtId="0" fontId="72" fillId="10" borderId="107" xfId="0" applyFont="1" applyFill="1" applyBorder="1" applyAlignment="1" applyProtection="1">
      <alignment horizontal="center" vertical="center" textRotation="90"/>
    </xf>
    <xf numFmtId="0" fontId="9" fillId="10" borderId="3" xfId="0" applyFont="1" applyFill="1" applyBorder="1" applyAlignment="1" applyProtection="1">
      <alignment horizontal="left"/>
    </xf>
    <xf numFmtId="0" fontId="29" fillId="10" borderId="7" xfId="0" applyFont="1" applyFill="1" applyBorder="1" applyAlignment="1" applyProtection="1">
      <alignment horizontal="center" wrapText="1"/>
    </xf>
    <xf numFmtId="0" fontId="29" fillId="10" borderId="9" xfId="0" applyFont="1" applyFill="1" applyBorder="1" applyAlignment="1" applyProtection="1">
      <alignment horizontal="center" wrapText="1"/>
    </xf>
    <xf numFmtId="0" fontId="9" fillId="10" borderId="7" xfId="0" applyFont="1" applyFill="1" applyBorder="1" applyAlignment="1" applyProtection="1">
      <alignment horizontal="center" wrapText="1"/>
    </xf>
    <xf numFmtId="0" fontId="9" fillId="10" borderId="8" xfId="0" applyFont="1" applyFill="1" applyBorder="1" applyAlignment="1" applyProtection="1">
      <alignment horizontal="center" wrapText="1"/>
    </xf>
    <xf numFmtId="0" fontId="9" fillId="10" borderId="9" xfId="0" applyFont="1" applyFill="1" applyBorder="1" applyAlignment="1" applyProtection="1">
      <alignment horizontal="center" wrapText="1"/>
    </xf>
    <xf numFmtId="0" fontId="9" fillId="10" borderId="108" xfId="0" applyFont="1" applyFill="1" applyBorder="1" applyAlignment="1" applyProtection="1">
      <alignment horizontal="center" wrapText="1"/>
    </xf>
    <xf numFmtId="0" fontId="9" fillId="10" borderId="109" xfId="0" applyFont="1" applyFill="1" applyBorder="1" applyAlignment="1" applyProtection="1">
      <alignment horizontal="center" wrapText="1"/>
    </xf>
    <xf numFmtId="0" fontId="15" fillId="0" borderId="0" xfId="0" applyFont="1" applyFill="1" applyAlignment="1">
      <alignment horizontal="centerContinuous"/>
    </xf>
    <xf numFmtId="0" fontId="1" fillId="0" borderId="0" xfId="0" applyFont="1" applyAlignment="1">
      <alignment horizontal="right" vertical="top"/>
    </xf>
    <xf numFmtId="0" fontId="1" fillId="0" borderId="0" xfId="0" applyFont="1" applyAlignment="1">
      <alignment wrapText="1"/>
    </xf>
    <xf numFmtId="0" fontId="7" fillId="0" borderId="0" xfId="0" applyFont="1" applyAlignment="1">
      <alignment horizontal="right" vertical="top"/>
    </xf>
    <xf numFmtId="0" fontId="1" fillId="0" borderId="0" xfId="0" applyFont="1" applyAlignment="1">
      <alignment vertical="top" wrapText="1"/>
    </xf>
    <xf numFmtId="0" fontId="27" fillId="12" borderId="45" xfId="0" applyFont="1" applyFill="1" applyBorder="1" applyAlignment="1">
      <alignment horizontal="center" wrapText="1"/>
    </xf>
    <xf numFmtId="0" fontId="27" fillId="12" borderId="46" xfId="0" applyFont="1" applyFill="1" applyBorder="1" applyAlignment="1">
      <alignment horizontal="center" wrapText="1"/>
    </xf>
    <xf numFmtId="0" fontId="9" fillId="0" borderId="0" xfId="0" applyFont="1" applyBorder="1" applyAlignment="1">
      <alignment horizontal="left" vertical="top" wrapText="1"/>
    </xf>
    <xf numFmtId="0" fontId="0" fillId="0" borderId="0" xfId="0" applyAlignment="1">
      <alignment wrapText="1"/>
    </xf>
    <xf numFmtId="166" fontId="38" fillId="11" borderId="35" xfId="0" applyNumberFormat="1" applyFont="1" applyFill="1" applyBorder="1" applyAlignment="1" applyProtection="1">
      <alignment horizontal="left" vertical="top"/>
      <protection locked="0"/>
    </xf>
    <xf numFmtId="0" fontId="0" fillId="11" borderId="82" xfId="0" applyFill="1" applyBorder="1" applyAlignment="1" applyProtection="1">
      <protection locked="0"/>
    </xf>
    <xf numFmtId="166" fontId="38" fillId="11" borderId="115" xfId="0" applyNumberFormat="1" applyFont="1" applyFill="1" applyBorder="1" applyAlignment="1" applyProtection="1">
      <alignment horizontal="left" vertical="top"/>
      <protection locked="0"/>
    </xf>
    <xf numFmtId="0" fontId="0" fillId="11" borderId="116" xfId="0" applyFill="1" applyBorder="1" applyAlignment="1" applyProtection="1">
      <protection locked="0"/>
    </xf>
    <xf numFmtId="166" fontId="38" fillId="11" borderId="82" xfId="0" applyNumberFormat="1" applyFont="1" applyFill="1" applyBorder="1" applyAlignment="1" applyProtection="1">
      <alignment horizontal="left" vertical="top"/>
      <protection locked="0"/>
    </xf>
    <xf numFmtId="166" fontId="59" fillId="11" borderId="35" xfId="0" applyNumberFormat="1" applyFont="1" applyFill="1" applyBorder="1" applyAlignment="1" applyProtection="1">
      <alignment horizontal="left" vertical="top"/>
      <protection locked="0"/>
    </xf>
    <xf numFmtId="166" fontId="59" fillId="11" borderId="82" xfId="0" applyNumberFormat="1" applyFont="1" applyFill="1" applyBorder="1" applyAlignment="1" applyProtection="1">
      <alignment horizontal="left" vertical="top"/>
      <protection locked="0"/>
    </xf>
    <xf numFmtId="0" fontId="89" fillId="18" borderId="137" xfId="0" applyFont="1" applyFill="1" applyBorder="1" applyAlignment="1" applyProtection="1">
      <alignment horizontal="left" vertical="center"/>
      <protection locked="0"/>
    </xf>
    <xf numFmtId="0" fontId="89" fillId="18" borderId="138" xfId="0" applyFont="1" applyFill="1" applyBorder="1" applyAlignment="1" applyProtection="1">
      <alignment horizontal="left" vertical="center"/>
      <protection locked="0"/>
    </xf>
    <xf numFmtId="0" fontId="89" fillId="18" borderId="139" xfId="0" applyFont="1" applyFill="1" applyBorder="1" applyAlignment="1" applyProtection="1">
      <alignment horizontal="left" vertical="center"/>
      <protection locked="0"/>
    </xf>
    <xf numFmtId="0" fontId="89" fillId="18" borderId="88" xfId="0" applyFont="1" applyFill="1" applyBorder="1" applyAlignment="1" applyProtection="1">
      <alignment vertical="center"/>
      <protection locked="0"/>
    </xf>
    <xf numFmtId="0" fontId="89" fillId="18" borderId="89" xfId="0" applyFont="1" applyFill="1" applyBorder="1" applyAlignment="1" applyProtection="1">
      <alignment vertical="center"/>
      <protection locked="0"/>
    </xf>
    <xf numFmtId="0" fontId="89" fillId="18" borderId="90" xfId="0" applyFont="1" applyFill="1" applyBorder="1" applyAlignment="1" applyProtection="1">
      <alignment vertical="center"/>
      <protection locked="0"/>
    </xf>
    <xf numFmtId="0" fontId="90" fillId="18" borderId="89" xfId="0" applyFont="1" applyFill="1" applyBorder="1" applyAlignment="1" applyProtection="1">
      <alignment vertical="center"/>
      <protection locked="0"/>
    </xf>
    <xf numFmtId="0" fontId="90" fillId="18" borderId="90" xfId="0" applyFont="1" applyFill="1" applyBorder="1" applyAlignment="1" applyProtection="1">
      <alignment vertical="center"/>
      <protection locked="0"/>
    </xf>
    <xf numFmtId="0" fontId="9" fillId="10" borderId="103" xfId="0" applyFont="1" applyFill="1" applyBorder="1" applyAlignment="1">
      <alignment horizontal="center" vertical="center"/>
    </xf>
    <xf numFmtId="0" fontId="0" fillId="0" borderId="101" xfId="0" applyBorder="1" applyAlignment="1">
      <alignment vertical="center"/>
    </xf>
    <xf numFmtId="0" fontId="0" fillId="0" borderId="104" xfId="0" applyBorder="1" applyAlignment="1">
      <alignment vertical="center"/>
    </xf>
    <xf numFmtId="0" fontId="9" fillId="10" borderId="2" xfId="0" applyFont="1" applyFill="1" applyBorder="1" applyAlignment="1">
      <alignment horizontal="center"/>
    </xf>
    <xf numFmtId="0" fontId="0" fillId="0" borderId="4" xfId="0" applyBorder="1" applyAlignment="1">
      <alignment horizontal="center"/>
    </xf>
    <xf numFmtId="0" fontId="9" fillId="10" borderId="4" xfId="0" applyFont="1" applyFill="1" applyBorder="1" applyAlignment="1">
      <alignment horizontal="center"/>
    </xf>
    <xf numFmtId="0" fontId="79" fillId="7" borderId="129" xfId="0" applyFont="1" applyFill="1" applyBorder="1" applyAlignment="1">
      <alignment horizontal="left"/>
    </xf>
    <xf numFmtId="0" fontId="80" fillId="0" borderId="133" xfId="0" applyFont="1" applyBorder="1" applyAlignment="1"/>
    <xf numFmtId="0" fontId="0" fillId="0" borderId="102" xfId="0" applyBorder="1" applyAlignment="1">
      <alignment horizontal="center" vertical="center"/>
    </xf>
    <xf numFmtId="0" fontId="83" fillId="0" borderId="129" xfId="0" applyFont="1" applyFill="1" applyBorder="1" applyAlignment="1">
      <alignment horizontal="left"/>
    </xf>
    <xf numFmtId="0" fontId="84" fillId="0" borderId="133" xfId="0" applyFont="1" applyFill="1" applyBorder="1" applyAlignment="1"/>
    <xf numFmtId="0" fontId="83" fillId="0" borderId="124" xfId="0" applyFont="1" applyFill="1" applyBorder="1" applyAlignment="1">
      <alignment horizontal="left"/>
    </xf>
    <xf numFmtId="0" fontId="84" fillId="0" borderId="0" xfId="0" applyFont="1" applyFill="1" applyBorder="1" applyAlignment="1"/>
    <xf numFmtId="0" fontId="81" fillId="6" borderId="0" xfId="0" applyFont="1" applyFill="1" applyAlignment="1" applyProtection="1">
      <alignment horizontal="left"/>
    </xf>
    <xf numFmtId="0" fontId="82" fillId="0" borderId="0" xfId="0" applyFont="1" applyAlignment="1"/>
    <xf numFmtId="0" fontId="9" fillId="10" borderId="3" xfId="0" applyFont="1" applyFill="1" applyBorder="1" applyAlignment="1" applyProtection="1">
      <alignment horizontal="center" wrapText="1"/>
    </xf>
    <xf numFmtId="0" fontId="9" fillId="10" borderId="4" xfId="0" applyFont="1" applyFill="1" applyBorder="1" applyAlignment="1" applyProtection="1">
      <alignment horizontal="center"/>
    </xf>
    <xf numFmtId="166" fontId="59" fillId="11" borderId="143" xfId="0" applyNumberFormat="1" applyFont="1" applyFill="1" applyBorder="1" applyAlignment="1" applyProtection="1">
      <alignment horizontal="left" vertical="top"/>
      <protection locked="0"/>
    </xf>
    <xf numFmtId="166" fontId="59" fillId="11" borderId="144" xfId="0" applyNumberFormat="1" applyFont="1" applyFill="1" applyBorder="1" applyAlignment="1" applyProtection="1">
      <alignment horizontal="left" vertical="top"/>
      <protection locked="0"/>
    </xf>
    <xf numFmtId="0" fontId="9" fillId="0" borderId="20" xfId="0" applyFont="1" applyBorder="1" applyAlignment="1">
      <alignment horizontal="left" vertical="center" wrapText="1"/>
    </xf>
    <xf numFmtId="0" fontId="9" fillId="0" borderId="86" xfId="0" applyFont="1" applyBorder="1" applyAlignment="1">
      <alignment horizontal="left" vertical="center" wrapText="1"/>
    </xf>
    <xf numFmtId="0" fontId="9" fillId="0" borderId="21" xfId="0" applyFont="1" applyBorder="1" applyAlignment="1">
      <alignment horizontal="left" vertical="center" wrapText="1"/>
    </xf>
    <xf numFmtId="0" fontId="7" fillId="0" borderId="10" xfId="0" applyFont="1" applyBorder="1" applyAlignment="1">
      <alignment horizontal="left" vertical="center" wrapText="1"/>
    </xf>
    <xf numFmtId="0" fontId="7" fillId="0" borderId="6" xfId="0" applyFont="1" applyBorder="1" applyAlignment="1">
      <alignment horizontal="left" vertical="center" wrapText="1"/>
    </xf>
    <xf numFmtId="0" fontId="36" fillId="0" borderId="91" xfId="0" applyFont="1" applyBorder="1" applyAlignment="1">
      <alignment vertical="center" wrapText="1"/>
    </xf>
    <xf numFmtId="0" fontId="36" fillId="0" borderId="92" xfId="0" applyFont="1" applyBorder="1" applyAlignment="1">
      <alignment vertical="center" wrapText="1"/>
    </xf>
    <xf numFmtId="0" fontId="36" fillId="0" borderId="93" xfId="0" applyFont="1" applyBorder="1" applyAlignment="1">
      <alignment vertical="center" wrapText="1"/>
    </xf>
  </cellXfs>
  <cellStyles count="4">
    <cellStyle name="Normal" xfId="0" builtinId="0"/>
    <cellStyle name="Normal 2" xfId="2"/>
    <cellStyle name="Percent" xfId="1" builtinId="5"/>
    <cellStyle name="Percent 2" xfId="3"/>
  </cellStyles>
  <dxfs count="127">
    <dxf>
      <font>
        <color rgb="FF0000FF"/>
      </font>
    </dxf>
    <dxf>
      <font>
        <b/>
        <i val="0"/>
        <color rgb="FF0000FF"/>
      </font>
      <fill>
        <patternFill>
          <bgColor rgb="FFFFFFCC"/>
        </patternFill>
      </fill>
    </dxf>
    <dxf>
      <font>
        <b/>
        <i/>
        <color rgb="FF008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ill>
        <patternFill>
          <bgColor rgb="FFFFCC99"/>
        </patternFill>
      </fill>
    </dxf>
    <dxf>
      <border>
        <top/>
        <vertical/>
        <horizontal/>
      </border>
    </dxf>
    <dxf>
      <fill>
        <patternFill patternType="solid">
          <bgColor indexed="9"/>
        </patternFill>
      </fill>
      <border>
        <left/>
      </border>
    </dxf>
    <dxf>
      <font>
        <b/>
        <i/>
        <condense val="0"/>
        <extend val="0"/>
        <color indexed="10"/>
      </font>
    </dxf>
    <dxf>
      <font>
        <condense val="0"/>
        <extend val="0"/>
        <color indexed="9"/>
      </font>
      <fill>
        <patternFill patternType="solid">
          <bgColor indexed="17"/>
        </patternFill>
      </fill>
      <border>
        <top style="thin">
          <color theme="0"/>
        </top>
      </border>
    </dxf>
    <dxf>
      <font>
        <condense val="0"/>
        <extend val="0"/>
        <color indexed="9"/>
      </font>
      <fill>
        <patternFill patternType="solid">
          <bgColor indexed="9"/>
        </patternFill>
      </fill>
      <border>
        <left/>
      </border>
    </dxf>
    <dxf>
      <font>
        <b/>
        <i val="0"/>
        <color rgb="FFFF9900"/>
      </font>
    </dxf>
    <dxf>
      <font>
        <color theme="0"/>
      </font>
      <fill>
        <patternFill patternType="solid">
          <bgColor indexed="9"/>
        </patternFill>
      </fill>
      <border>
        <left/>
        <right/>
      </border>
    </dxf>
    <dxf>
      <font>
        <b val="0"/>
        <i/>
        <condense val="0"/>
        <extend val="0"/>
        <color indexed="10"/>
      </font>
    </dxf>
    <dxf>
      <font>
        <color theme="0"/>
      </font>
      <fill>
        <patternFill patternType="solid">
          <bgColor indexed="9"/>
        </patternFill>
      </fill>
      <border>
        <left/>
        <right/>
      </border>
    </dxf>
    <dxf>
      <font>
        <b val="0"/>
        <i/>
        <condense val="0"/>
        <extend val="0"/>
        <color indexed="10"/>
      </font>
    </dxf>
    <dxf>
      <font>
        <condense val="0"/>
        <extend val="0"/>
      </font>
      <fill>
        <patternFill patternType="solid">
          <bgColor indexed="9"/>
        </patternFill>
      </fill>
      <border>
        <left/>
        <right/>
      </border>
    </dxf>
    <dxf>
      <font>
        <b val="0"/>
        <i/>
        <color indexed="10"/>
      </font>
    </dxf>
    <dxf>
      <fill>
        <patternFill patternType="solid">
          <bgColor indexed="9"/>
        </patternFill>
      </fill>
      <border>
        <right/>
      </border>
    </dxf>
    <dxf>
      <font>
        <b val="0"/>
        <i/>
        <condense val="0"/>
        <extend val="0"/>
        <color indexed="10"/>
      </font>
    </dxf>
    <dxf>
      <font>
        <b/>
        <i val="0"/>
        <color rgb="FFFF9900"/>
      </font>
    </dxf>
    <dxf>
      <font>
        <b/>
        <i val="0"/>
        <condense val="0"/>
        <extend val="0"/>
        <color indexed="9"/>
      </font>
      <fill>
        <patternFill patternType="solid">
          <bgColor indexed="17"/>
        </patternFill>
      </fill>
    </dxf>
    <dxf>
      <font>
        <b/>
        <i/>
        <condense val="0"/>
        <extend val="0"/>
        <color indexed="9"/>
      </font>
      <fill>
        <patternFill patternType="solid">
          <bgColor indexed="10"/>
        </patternFill>
      </fill>
    </dxf>
    <dxf>
      <font>
        <condense val="0"/>
        <extend val="0"/>
      </font>
      <border>
        <bottom style="thin">
          <color indexed="55"/>
        </bottom>
      </border>
    </dxf>
    <dxf>
      <font>
        <b/>
        <i/>
        <condense val="0"/>
        <extend val="0"/>
        <color indexed="53"/>
      </font>
      <fill>
        <patternFill>
          <bgColor indexed="43"/>
        </patternFill>
      </fill>
      <border>
        <bottom style="thin">
          <color indexed="55"/>
        </bottom>
      </border>
    </dxf>
    <dxf>
      <font>
        <b/>
        <i/>
        <condense val="0"/>
        <extend val="0"/>
        <color indexed="9"/>
      </font>
      <fill>
        <patternFill>
          <bgColor rgb="FFFFCC99"/>
        </patternFill>
      </fill>
    </dxf>
    <dxf>
      <font>
        <b/>
        <i val="0"/>
        <condense val="0"/>
        <extend val="0"/>
        <color auto="1"/>
      </font>
      <fill>
        <patternFill>
          <bgColor indexed="9"/>
        </patternFill>
      </fill>
      <border>
        <bottom style="thin">
          <color rgb="FF969696"/>
        </bottom>
      </border>
    </dxf>
    <dxf>
      <font>
        <condense val="0"/>
        <extend val="0"/>
      </font>
      <border>
        <bottom style="thin">
          <color rgb="FF969696"/>
        </bottom>
      </border>
    </dxf>
    <dxf>
      <font>
        <b/>
        <i/>
        <condense val="0"/>
        <extend val="0"/>
        <color indexed="53"/>
      </font>
      <fill>
        <patternFill>
          <bgColor indexed="43"/>
        </patternFill>
      </fill>
    </dxf>
    <dxf>
      <font>
        <b/>
        <i val="0"/>
        <condense val="0"/>
        <extend val="0"/>
      </font>
      <fill>
        <patternFill patternType="solid">
          <bgColor indexed="26"/>
        </patternFill>
      </fill>
      <border>
        <top style="thin">
          <color indexed="22"/>
        </top>
      </border>
    </dxf>
    <dxf>
      <font>
        <b/>
        <i val="0"/>
        <condense val="0"/>
        <extend val="0"/>
        <color indexed="9"/>
      </font>
      <fill>
        <patternFill>
          <bgColor indexed="52"/>
        </patternFill>
      </fill>
    </dxf>
    <dxf>
      <font>
        <strike val="0"/>
        <condense val="0"/>
        <extend val="0"/>
        <color indexed="9"/>
      </font>
      <fill>
        <patternFill>
          <bgColor indexed="17"/>
        </patternFill>
      </fill>
      <border>
        <left style="thin">
          <color indexed="17"/>
        </left>
        <right style="thin">
          <color indexed="17"/>
        </right>
        <top style="thin">
          <color indexed="17"/>
        </top>
        <bottom style="thin">
          <color indexed="17"/>
        </bottom>
      </border>
    </dxf>
    <dxf>
      <font>
        <strike val="0"/>
        <condense val="0"/>
        <extend val="0"/>
        <color indexed="9"/>
      </font>
      <fill>
        <patternFill>
          <bgColor indexed="10"/>
        </patternFill>
      </fill>
      <border>
        <left style="thin">
          <color indexed="10"/>
        </left>
        <right style="thin">
          <color indexed="10"/>
        </right>
        <top style="thin">
          <color indexed="10"/>
        </top>
        <bottom style="thin">
          <color indexed="10"/>
        </bottom>
      </border>
    </dxf>
    <dxf>
      <font>
        <strike val="0"/>
        <condense val="0"/>
        <extend val="0"/>
        <color indexed="9"/>
      </font>
      <fill>
        <patternFill patternType="none">
          <bgColor indexed="65"/>
        </patternFill>
      </fill>
    </dxf>
    <dxf>
      <font>
        <condense val="0"/>
        <extend val="0"/>
        <color indexed="9"/>
      </font>
      <fill>
        <patternFill patternType="solid">
          <bgColor indexed="10"/>
        </patternFill>
      </fill>
    </dxf>
    <dxf>
      <font>
        <b/>
        <i val="0"/>
        <condense val="0"/>
        <extend val="0"/>
        <color auto="1"/>
      </font>
      <fill>
        <patternFill patternType="mediumGray">
          <fgColor indexed="42"/>
          <bgColor indexed="65"/>
        </patternFill>
      </fill>
    </dxf>
    <dxf>
      <font>
        <b/>
        <i val="0"/>
        <condense val="0"/>
        <extend val="0"/>
        <color auto="1"/>
      </font>
      <fill>
        <patternFill patternType="mediumGray">
          <fgColor indexed="42"/>
          <bgColor indexed="65"/>
        </patternFill>
      </fill>
    </dxf>
    <dxf>
      <font>
        <b val="0"/>
        <i/>
        <condense val="0"/>
        <extend val="0"/>
      </font>
    </dxf>
    <dxf>
      <font>
        <b/>
        <i/>
        <condense val="0"/>
        <extend val="0"/>
        <color indexed="10"/>
      </font>
    </dxf>
    <dxf>
      <font>
        <condense val="0"/>
        <extend val="0"/>
        <color indexed="17"/>
      </font>
    </dxf>
    <dxf>
      <font>
        <b val="0"/>
        <i/>
        <condense val="0"/>
        <extend val="0"/>
      </font>
    </dxf>
    <dxf>
      <fill>
        <patternFill patternType="none">
          <bgColor indexed="65"/>
        </patternFill>
      </fill>
    </dxf>
    <dxf>
      <fill>
        <patternFill patternType="none">
          <bgColor indexed="65"/>
        </patternFill>
      </fill>
    </dxf>
    <dxf>
      <font>
        <b/>
        <i/>
        <condense val="0"/>
        <extend val="0"/>
        <color indexed="9"/>
      </font>
    </dxf>
    <dxf>
      <font>
        <b/>
        <i/>
        <condense val="0"/>
        <extend val="0"/>
        <color indexed="9"/>
      </font>
      <fill>
        <patternFill>
          <bgColor indexed="10"/>
        </patternFill>
      </fill>
    </dxf>
    <dxf>
      <font>
        <b/>
        <i/>
        <condense val="0"/>
        <extend val="0"/>
        <color indexed="10"/>
      </font>
    </dxf>
    <dxf>
      <font>
        <b/>
        <i val="0"/>
        <condense val="0"/>
        <extend val="0"/>
        <color auto="1"/>
      </font>
    </dxf>
    <dxf>
      <font>
        <condense val="0"/>
        <extend val="0"/>
        <color indexed="10"/>
      </font>
    </dxf>
    <dxf>
      <fill>
        <patternFill patternType="solid">
          <bgColor indexed="22"/>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ont>
        <b/>
        <i val="0"/>
        <condense val="0"/>
        <extend val="0"/>
      </font>
      <fill>
        <patternFill>
          <bgColor indexed="26"/>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val="0"/>
        <condense val="0"/>
        <extend val="0"/>
        <color indexed="10"/>
      </font>
    </dxf>
    <dxf>
      <font>
        <b/>
        <i val="0"/>
        <condense val="0"/>
        <extend val="0"/>
      </font>
      <fill>
        <patternFill>
          <bgColor indexed="43"/>
        </patternFill>
      </fill>
    </dxf>
    <dxf>
      <font>
        <b/>
        <i val="0"/>
        <condense val="0"/>
        <extend val="0"/>
      </font>
    </dxf>
    <dxf>
      <font>
        <b/>
        <i val="0"/>
        <condense val="0"/>
        <extend val="0"/>
        <color indexed="10"/>
      </font>
      <fill>
        <patternFill>
          <bgColor indexed="43"/>
        </patternFill>
      </fill>
    </dxf>
    <dxf>
      <font>
        <b/>
        <i val="0"/>
        <condense val="0"/>
        <extend val="0"/>
        <color indexed="10"/>
      </font>
    </dxf>
    <dxf>
      <font>
        <b/>
        <i val="0"/>
        <condense val="0"/>
        <extend val="0"/>
        <color indexed="9"/>
      </font>
      <fill>
        <patternFill>
          <bgColor indexed="10"/>
        </patternFill>
      </fill>
    </dxf>
    <dxf>
      <fill>
        <patternFill>
          <bgColor rgb="FFFFCC99"/>
        </patternFill>
      </fill>
    </dxf>
    <dxf>
      <font>
        <condense val="0"/>
        <extend val="0"/>
      </font>
      <border>
        <bottom/>
      </border>
    </dxf>
    <dxf>
      <font>
        <condense val="0"/>
        <extend val="0"/>
      </font>
      <fill>
        <patternFill patternType="none">
          <bgColor indexed="65"/>
        </patternFill>
      </fill>
      <border>
        <bottom/>
      </border>
    </dxf>
    <dxf>
      <font>
        <condense val="0"/>
        <extend val="0"/>
        <color auto="1"/>
      </font>
      <fill>
        <patternFill patternType="none">
          <bgColor indexed="65"/>
        </patternFill>
      </fill>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b val="0"/>
        <i/>
        <condense val="0"/>
        <extend val="0"/>
        <color indexed="55"/>
      </font>
      <fill>
        <patternFill>
          <bgColor rgb="FFFFFFCC"/>
        </patternFill>
      </fill>
    </dxf>
    <dxf>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ont>
        <condense val="0"/>
        <extend val="0"/>
      </font>
      <fill>
        <patternFill>
          <bgColor indexed="22"/>
        </patternFill>
      </fill>
    </dxf>
    <dxf>
      <font>
        <b/>
        <i/>
        <condense val="0"/>
        <extend val="0"/>
        <color indexed="9"/>
      </font>
      <fill>
        <patternFill>
          <bgColor rgb="FFFF9900"/>
        </patternFill>
      </fill>
    </dxf>
    <dxf>
      <font>
        <b/>
        <i val="0"/>
        <color rgb="FF0000FF"/>
      </font>
      <fill>
        <patternFill>
          <bgColor rgb="FFFFFFCC"/>
        </patternFill>
      </fill>
    </dxf>
    <dxf>
      <font>
        <condense val="0"/>
        <extend val="0"/>
      </font>
      <fill>
        <patternFill>
          <bgColor indexed="22"/>
        </patternFill>
      </fill>
    </dxf>
    <dxf>
      <fill>
        <patternFill>
          <bgColor rgb="FFFFCC99"/>
        </patternFill>
      </fill>
    </dxf>
    <dxf>
      <font>
        <b/>
        <i/>
        <condense val="0"/>
        <extend val="0"/>
        <color indexed="9"/>
      </font>
      <fill>
        <patternFill>
          <bgColor rgb="FFFF9900"/>
        </patternFill>
      </fill>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b/>
        <i/>
        <condense val="0"/>
        <extend val="0"/>
        <color indexed="53"/>
      </font>
      <fill>
        <patternFill>
          <bgColor indexed="43"/>
        </patternFill>
      </fill>
    </dxf>
    <dxf>
      <font>
        <b/>
        <i/>
        <condense val="0"/>
        <extend val="0"/>
        <color indexed="9"/>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auto="1"/>
      </font>
      <fill>
        <patternFill patternType="none">
          <bgColor indexed="65"/>
        </patternFill>
      </fill>
    </dxf>
    <dxf>
      <border>
        <bottom style="thin">
          <color indexed="55"/>
        </bottom>
      </border>
    </dxf>
    <dxf>
      <fill>
        <patternFill>
          <bgColor indexed="53"/>
        </patternFill>
      </fill>
      <border>
        <bottom style="thin">
          <color indexed="55"/>
        </bottom>
      </border>
    </dxf>
    <dxf>
      <font>
        <condense val="0"/>
        <extend val="0"/>
      </font>
      <fill>
        <patternFill patternType="none">
          <bgColor indexed="65"/>
        </patternFill>
      </fill>
      <border>
        <left/>
        <right/>
        <top/>
        <bottom/>
      </border>
    </dxf>
    <dxf>
      <fill>
        <patternFill>
          <bgColor indexed="47"/>
        </patternFill>
      </fill>
    </dxf>
    <dxf>
      <font>
        <b/>
        <i val="0"/>
        <condense val="0"/>
        <extend val="0"/>
        <color indexed="9"/>
      </font>
      <fill>
        <patternFill>
          <bgColor indexed="10"/>
        </patternFill>
      </fill>
    </dxf>
    <dxf>
      <font>
        <condense val="0"/>
        <extend val="0"/>
        <color indexed="17"/>
      </font>
      <fill>
        <patternFill>
          <bgColor indexed="26"/>
        </patternFill>
      </fill>
    </dxf>
    <dxf>
      <font>
        <condense val="0"/>
        <extend val="0"/>
        <color indexed="10"/>
      </font>
      <fill>
        <patternFill>
          <bgColor indexed="43"/>
        </patternFill>
      </fill>
    </dxf>
    <dxf>
      <font>
        <b/>
        <i/>
        <condense val="0"/>
        <extend val="0"/>
      </font>
      <fill>
        <patternFill>
          <bgColor indexed="43"/>
        </patternFill>
      </fill>
    </dxf>
    <dxf>
      <font>
        <b/>
        <i/>
        <condense val="0"/>
        <extend val="0"/>
        <color indexed="12"/>
      </font>
      <fill>
        <patternFill>
          <bgColor indexed="43"/>
        </patternFill>
      </fill>
    </dxf>
    <dxf>
      <font>
        <b/>
        <i/>
        <condense val="0"/>
        <extend val="0"/>
        <color indexed="10"/>
      </font>
    </dxf>
  </dxfs>
  <tableStyles count="0" defaultTableStyle="TableStyleMedium9" defaultPivotStyle="PivotStyleLight16"/>
  <colors>
    <mruColors>
      <color rgb="FF0000FF"/>
      <color rgb="FFFFFFCC"/>
      <color rgb="FFC0C0C0"/>
      <color rgb="FF969696"/>
      <color rgb="FFFF9900"/>
      <color rgb="FFFFCC99"/>
      <color rgb="FF008000"/>
      <color rgb="FFFFFF99"/>
      <color rgb="FF4D4D4D"/>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SSEditing"/><Relationship Id="rId2" Type="http://schemas.openxmlformats.org/officeDocument/2006/relationships/hyperlink" Target="#SSDisplay"/><Relationship Id="rId1" Type="http://schemas.openxmlformats.org/officeDocument/2006/relationships/hyperlink" Target="#Building"/><Relationship Id="rId4" Type="http://schemas.openxmlformats.org/officeDocument/2006/relationships/hyperlink" Target="#SSErrors"/></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ScrS2"/><Relationship Id="rId7" Type="http://schemas.openxmlformats.org/officeDocument/2006/relationships/image" Target="../media/image3.PNG"/><Relationship Id="rId2" Type="http://schemas.openxmlformats.org/officeDocument/2006/relationships/hyperlink" Target="#ScrS1"/><Relationship Id="rId1" Type="http://schemas.openxmlformats.org/officeDocument/2006/relationships/hyperlink" Target="#Buildi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ScrS3"/></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drawing1.xml><?xml version="1.0" encoding="utf-8"?>
<xdr:wsDr xmlns:xdr="http://schemas.openxmlformats.org/drawingml/2006/spreadsheetDrawing" xmlns:a="http://schemas.openxmlformats.org/drawingml/2006/main">
  <xdr:twoCellAnchor>
    <xdr:from>
      <xdr:col>3</xdr:col>
      <xdr:colOff>0</xdr:colOff>
      <xdr:row>5</xdr:row>
      <xdr:rowOff>123825</xdr:rowOff>
    </xdr:from>
    <xdr:to>
      <xdr:col>6</xdr:col>
      <xdr:colOff>0</xdr:colOff>
      <xdr:row>7</xdr:row>
      <xdr:rowOff>47625</xdr:rowOff>
    </xdr:to>
    <xdr:sp macro="" textlink="">
      <xdr:nvSpPr>
        <xdr:cNvPr id="5053" name="AutoShape 1">
          <a:hlinkClick xmlns:r="http://schemas.openxmlformats.org/officeDocument/2006/relationships" r:id="rId1" tooltip="Click here to return to the Calculator form"/>
        </xdr:cNvPr>
        <xdr:cNvSpPr>
          <a:spLocks noChangeArrowheads="1"/>
        </xdr:cNvSpPr>
      </xdr:nvSpPr>
      <xdr:spPr bwMode="auto">
        <a:xfrm>
          <a:off x="228600" y="285750"/>
          <a:ext cx="5705475" cy="285750"/>
        </a:xfrm>
        <a:prstGeom prst="roundRect">
          <a:avLst>
            <a:gd name="adj" fmla="val 16667"/>
          </a:avLst>
        </a:prstGeom>
        <a:gradFill rotWithShape="1">
          <a:gsLst>
            <a:gs pos="0">
              <a:srgbClr val="339966"/>
            </a:gs>
            <a:gs pos="100000">
              <a:srgbClr val="18472F"/>
            </a:gs>
          </a:gsLst>
          <a:lin ang="5400000" scaled="1"/>
        </a:gradFill>
        <a:ln w="9525">
          <a:solidFill>
            <a:srgbClr val="008000"/>
          </a:solidFill>
          <a:round/>
          <a:headEnd/>
          <a:tailEnd/>
        </a:ln>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5</xdr:col>
      <xdr:colOff>3590925</xdr:colOff>
      <xdr:row>19</xdr:row>
      <xdr:rowOff>123825</xdr:rowOff>
    </xdr:from>
    <xdr:to>
      <xdr:col>5</xdr:col>
      <xdr:colOff>5390925</xdr:colOff>
      <xdr:row>21</xdr:row>
      <xdr:rowOff>0</xdr:rowOff>
    </xdr:to>
    <xdr:sp macro="" textlink="">
      <xdr:nvSpPr>
        <xdr:cNvPr id="4098" name="AutoShape 2">
          <a:hlinkClick xmlns:r="http://schemas.openxmlformats.org/officeDocument/2006/relationships" r:id="rId2" tooltip="Click here to show annotated screenshot 1"/>
        </xdr:cNvPr>
        <xdr:cNvSpPr>
          <a:spLocks noChangeArrowheads="1"/>
        </xdr:cNvSpPr>
      </xdr:nvSpPr>
      <xdr:spPr bwMode="auto">
        <a:xfrm>
          <a:off x="4133850" y="3600450"/>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5</xdr:col>
      <xdr:colOff>3590925</xdr:colOff>
      <xdr:row>25</xdr:row>
      <xdr:rowOff>123825</xdr:rowOff>
    </xdr:from>
    <xdr:to>
      <xdr:col>5</xdr:col>
      <xdr:colOff>5390925</xdr:colOff>
      <xdr:row>27</xdr:row>
      <xdr:rowOff>0</xdr:rowOff>
    </xdr:to>
    <xdr:sp macro="" textlink="">
      <xdr:nvSpPr>
        <xdr:cNvPr id="4099" name="AutoShape 3">
          <a:hlinkClick xmlns:r="http://schemas.openxmlformats.org/officeDocument/2006/relationships" r:id="rId3" tooltip="Click here to show annotated screenshot 2"/>
        </xdr:cNvPr>
        <xdr:cNvSpPr>
          <a:spLocks noChangeArrowheads="1"/>
        </xdr:cNvSpPr>
      </xdr:nvSpPr>
      <xdr:spPr bwMode="auto">
        <a:xfrm>
          <a:off x="4133850" y="6029325"/>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5</xdr:col>
      <xdr:colOff>3590925</xdr:colOff>
      <xdr:row>35</xdr:row>
      <xdr:rowOff>123825</xdr:rowOff>
    </xdr:from>
    <xdr:to>
      <xdr:col>5</xdr:col>
      <xdr:colOff>5390925</xdr:colOff>
      <xdr:row>37</xdr:row>
      <xdr:rowOff>0</xdr:rowOff>
    </xdr:to>
    <xdr:sp macro="" textlink="">
      <xdr:nvSpPr>
        <xdr:cNvPr id="4100" name="AutoShape 4">
          <a:hlinkClick xmlns:r="http://schemas.openxmlformats.org/officeDocument/2006/relationships" r:id="rId4" tooltip="Click here to show annotated screenshot 3"/>
        </xdr:cNvPr>
        <xdr:cNvSpPr>
          <a:spLocks noChangeArrowheads="1"/>
        </xdr:cNvSpPr>
      </xdr:nvSpPr>
      <xdr:spPr bwMode="auto">
        <a:xfrm>
          <a:off x="4133850" y="9105900"/>
          <a:ext cx="1800000"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4</xdr:row>
      <xdr:rowOff>47625</xdr:rowOff>
    </xdr:from>
    <xdr:to>
      <xdr:col>16</xdr:col>
      <xdr:colOff>358636</xdr:colOff>
      <xdr:row>4</xdr:row>
      <xdr:rowOff>247650</xdr:rowOff>
    </xdr:to>
    <xdr:sp macro="" textlink="">
      <xdr:nvSpPr>
        <xdr:cNvPr id="5123" name="AutoShape 3">
          <a:hlinkClick xmlns:r="http://schemas.openxmlformats.org/officeDocument/2006/relationships" r:id="rId1" tooltip="Click here to return to the Calculator form"/>
        </xdr:cNvPr>
        <xdr:cNvSpPr>
          <a:spLocks noChangeArrowheads="1"/>
        </xdr:cNvSpPr>
      </xdr:nvSpPr>
      <xdr:spPr bwMode="auto">
        <a:xfrm>
          <a:off x="7191375" y="47625"/>
          <a:ext cx="21907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0</xdr:colOff>
      <xdr:row>4</xdr:row>
      <xdr:rowOff>342900</xdr:rowOff>
    </xdr:from>
    <xdr:to>
      <xdr:col>16</xdr:col>
      <xdr:colOff>358636</xdr:colOff>
      <xdr:row>6</xdr:row>
      <xdr:rowOff>0</xdr:rowOff>
    </xdr:to>
    <xdr:sp macro="" textlink="">
      <xdr:nvSpPr>
        <xdr:cNvPr id="5124" name="AutoShape 4">
          <a:hlinkClick xmlns:r="http://schemas.openxmlformats.org/officeDocument/2006/relationships" r:id="rId2" tooltip="Click here to return to the Help screen"/>
        </xdr:cNvPr>
        <xdr:cNvSpPr>
          <a:spLocks noChangeArrowheads="1"/>
        </xdr:cNvSpPr>
      </xdr:nvSpPr>
      <xdr:spPr bwMode="auto">
        <a:xfrm>
          <a:off x="7191375" y="342900"/>
          <a:ext cx="21907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60</xdr:row>
      <xdr:rowOff>47625</xdr:rowOff>
    </xdr:from>
    <xdr:to>
      <xdr:col>16</xdr:col>
      <xdr:colOff>339586</xdr:colOff>
      <xdr:row>60</xdr:row>
      <xdr:rowOff>247650</xdr:rowOff>
    </xdr:to>
    <xdr:sp macro="" textlink="">
      <xdr:nvSpPr>
        <xdr:cNvPr id="5125" name="AutoShape 5">
          <a:hlinkClick xmlns:r="http://schemas.openxmlformats.org/officeDocument/2006/relationships" r:id="rId1" tooltip="Click here to return to the Calculator form"/>
        </xdr:cNvPr>
        <xdr:cNvSpPr>
          <a:spLocks noChangeArrowheads="1"/>
        </xdr:cNvSpPr>
      </xdr:nvSpPr>
      <xdr:spPr bwMode="auto">
        <a:xfrm>
          <a:off x="7248525" y="67437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60</xdr:row>
      <xdr:rowOff>342900</xdr:rowOff>
    </xdr:from>
    <xdr:to>
      <xdr:col>16</xdr:col>
      <xdr:colOff>339586</xdr:colOff>
      <xdr:row>62</xdr:row>
      <xdr:rowOff>0</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70389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117</xdr:row>
      <xdr:rowOff>47625</xdr:rowOff>
    </xdr:from>
    <xdr:to>
      <xdr:col>16</xdr:col>
      <xdr:colOff>339586</xdr:colOff>
      <xdr:row>117</xdr:row>
      <xdr:rowOff>247650</xdr:rowOff>
    </xdr:to>
    <xdr:sp macro="" textlink="">
      <xdr:nvSpPr>
        <xdr:cNvPr id="5127" name="AutoShape 7">
          <a:hlinkClick xmlns:r="http://schemas.openxmlformats.org/officeDocument/2006/relationships" r:id="rId1" tooltip="Click here to return to the Calculator form"/>
        </xdr:cNvPr>
        <xdr:cNvSpPr>
          <a:spLocks noChangeArrowheads="1"/>
        </xdr:cNvSpPr>
      </xdr:nvSpPr>
      <xdr:spPr bwMode="auto">
        <a:xfrm>
          <a:off x="7248525" y="14411325"/>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117</xdr:row>
      <xdr:rowOff>342900</xdr:rowOff>
    </xdr:from>
    <xdr:to>
      <xdr:col>16</xdr:col>
      <xdr:colOff>339586</xdr:colOff>
      <xdr:row>119</xdr:row>
      <xdr:rowOff>0</xdr:rowOff>
    </xdr:to>
    <xdr:sp macro="" textlink="">
      <xdr:nvSpPr>
        <xdr:cNvPr id="5128" name="AutoShape 8">
          <a:hlinkClick xmlns:r="http://schemas.openxmlformats.org/officeDocument/2006/relationships" r:id="rId4" tooltip="Click here to return to the Help screen"/>
        </xdr:cNvPr>
        <xdr:cNvSpPr>
          <a:spLocks noChangeArrowheads="1"/>
        </xdr:cNvSpPr>
      </xdr:nvSpPr>
      <xdr:spPr bwMode="auto">
        <a:xfrm>
          <a:off x="7248525" y="14706600"/>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9525</xdr:colOff>
      <xdr:row>6</xdr:row>
      <xdr:rowOff>143071</xdr:rowOff>
    </xdr:from>
    <xdr:to>
      <xdr:col>16</xdr:col>
      <xdr:colOff>333375</xdr:colOff>
      <xdr:row>52</xdr:row>
      <xdr:rowOff>46214</xdr:rowOff>
    </xdr:to>
    <xdr:grpSp>
      <xdr:nvGrpSpPr>
        <xdr:cNvPr id="2" name="Group 1"/>
        <xdr:cNvGrpSpPr/>
      </xdr:nvGrpSpPr>
      <xdr:grpSpPr>
        <a:xfrm>
          <a:off x="123825" y="847921"/>
          <a:ext cx="9229725" cy="7351693"/>
          <a:chOff x="123825" y="1057471"/>
          <a:chExt cx="9229725" cy="7351693"/>
        </a:xfrm>
      </xdr:grpSpPr>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3825" y="1057471"/>
            <a:ext cx="9229725" cy="7351693"/>
          </a:xfrm>
          <a:prstGeom prst="rect">
            <a:avLst/>
          </a:prstGeom>
        </xdr:spPr>
      </xdr:pic>
      <xdr:sp macro="" textlink="">
        <xdr:nvSpPr>
          <xdr:cNvPr id="42" name="Rounded Rectangle 41"/>
          <xdr:cNvSpPr/>
        </xdr:nvSpPr>
        <xdr:spPr>
          <a:xfrm>
            <a:off x="418203" y="6301073"/>
            <a:ext cx="568955" cy="419311"/>
          </a:xfrm>
          <a:prstGeom prst="roundRect">
            <a:avLst/>
          </a:prstGeom>
          <a:noFill/>
          <a:ln w="25400" cap="flat" cmpd="sng" algn="ctr">
            <a:solidFill>
              <a:srgbClr val="FF0000"/>
            </a:solidFill>
            <a:prstDash val="solid"/>
          </a:ln>
          <a:effectLst>
            <a:outerShdw blurRad="50800" dist="38100" dir="2700000" algn="tl"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23704" name="AutoShape 9"/>
          <xdr:cNvSpPr>
            <a:spLocks noChangeArrowheads="1"/>
          </xdr:cNvSpPr>
        </xdr:nvSpPr>
        <xdr:spPr bwMode="auto">
          <a:xfrm>
            <a:off x="511158" y="2173181"/>
            <a:ext cx="1963953" cy="1835036"/>
          </a:xfrm>
          <a:prstGeom prst="wedgeRoundRectCallout">
            <a:avLst>
              <a:gd name="adj1" fmla="val 59161"/>
              <a:gd name="adj2" fmla="val 68684"/>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1" i="0" u="none" strike="noStrike" baseline="0">
              <a:solidFill>
                <a:srgbClr val="000000"/>
              </a:solidFill>
              <a:latin typeface="Arial"/>
              <a:cs typeface="Arial"/>
            </a:endParaRPr>
          </a:p>
        </xdr:txBody>
      </xdr:sp>
      <xdr:sp macro="" textlink="">
        <xdr:nvSpPr>
          <xdr:cNvPr id="23705" name="AutoShape 10"/>
          <xdr:cNvSpPr>
            <a:spLocks noChangeArrowheads="1"/>
          </xdr:cNvSpPr>
        </xdr:nvSpPr>
        <xdr:spPr bwMode="auto">
          <a:xfrm>
            <a:off x="854058" y="4684517"/>
            <a:ext cx="1933380" cy="1345541"/>
          </a:xfrm>
          <a:prstGeom prst="wedgeRoundRectCallout">
            <a:avLst>
              <a:gd name="adj1" fmla="val -42663"/>
              <a:gd name="adj2" fmla="val 95885"/>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(This number will always match the number set in Step 1.)</a:t>
            </a:r>
          </a:p>
          <a:p>
            <a:pPr algn="l" rtl="0">
              <a:defRPr sz="1000"/>
            </a:pPr>
            <a:endParaRPr lang="en-AU" sz="1000" b="1" i="0" u="none" strike="noStrike" baseline="0">
              <a:solidFill>
                <a:srgbClr val="000000"/>
              </a:solidFill>
              <a:latin typeface="Arial"/>
              <a:cs typeface="Arial"/>
            </a:endParaRPr>
          </a:p>
        </xdr:txBody>
      </xdr:sp>
      <xdr:sp macro="" textlink="">
        <xdr:nvSpPr>
          <xdr:cNvPr id="4" name="Rounded Rectangle 3"/>
          <xdr:cNvSpPr/>
        </xdr:nvSpPr>
        <xdr:spPr>
          <a:xfrm>
            <a:off x="3398785" y="1455926"/>
            <a:ext cx="322155" cy="647923"/>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9" name="Rounded Rectangle 38"/>
          <xdr:cNvSpPr/>
        </xdr:nvSpPr>
        <xdr:spPr>
          <a:xfrm>
            <a:off x="7886700" y="8185686"/>
            <a:ext cx="1288127" cy="177264"/>
          </a:xfrm>
          <a:prstGeom prst="roundRect">
            <a:avLst/>
          </a:prstGeom>
          <a:noFill/>
          <a:ln w="25400" cap="flat" cmpd="sng" algn="ctr">
            <a:solidFill>
              <a:srgbClr val="FF0000"/>
            </a:solidFill>
            <a:prstDash val="solid"/>
          </a:ln>
          <a:effectLst>
            <a:outerShdw blurRad="50800" dist="38100" dir="2700000" algn="tl"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40" name="AutoShape 3640"/>
          <xdr:cNvSpPr>
            <a:spLocks noChangeArrowheads="1"/>
          </xdr:cNvSpPr>
        </xdr:nvSpPr>
        <xdr:spPr bwMode="auto">
          <a:xfrm>
            <a:off x="6997312" y="7107355"/>
            <a:ext cx="1350394" cy="765282"/>
          </a:xfrm>
          <a:prstGeom prst="wedgeRoundRectCallout">
            <a:avLst>
              <a:gd name="adj1" fmla="val 35978"/>
              <a:gd name="adj2" fmla="val 9229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000" b="1" i="0" u="none" strike="noStrike" kern="0" cap="none" spc="0" normalizeH="0" baseline="0" noProof="0">
                <a:ln>
                  <a:noFill/>
                </a:ln>
                <a:solidFill>
                  <a:srgbClr val="000000"/>
                </a:solidFill>
                <a:effectLst/>
                <a:uLnTx/>
                <a:uFillTx/>
                <a:latin typeface="Arial"/>
                <a:cs typeface="Arial"/>
              </a:rPr>
              <a:t>Status bar zoom controls:</a:t>
            </a:r>
            <a:endParaRPr kumimoji="0" lang="en-AU" sz="1000" b="0"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000" b="0" i="0" u="none" strike="noStrike" kern="0" cap="none" spc="0" normalizeH="0" baseline="0" noProof="0">
                <a:ln>
                  <a:noFill/>
                </a:ln>
                <a:solidFill>
                  <a:srgbClr val="000000"/>
                </a:solidFill>
                <a:effectLst/>
                <a:uLnTx/>
                <a:uFillTx/>
                <a:latin typeface="Arial"/>
                <a:cs typeface="Arial"/>
              </a:rPr>
              <a:t>In Excel 2007 and later for Windows.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AU" sz="1000" b="0" i="0" u="none" strike="noStrike" kern="0" cap="none" spc="0" normalizeH="0" baseline="0" noProof="0">
              <a:ln>
                <a:noFill/>
              </a:ln>
              <a:solidFill>
                <a:srgbClr val="000000"/>
              </a:solidFill>
              <a:effectLst/>
              <a:uLnTx/>
              <a:uFillTx/>
              <a:latin typeface="Arial"/>
              <a:cs typeface="Arial"/>
            </a:endParaRPr>
          </a:p>
        </xdr:txBody>
      </xdr:sp>
      <xdr:sp macro="" textlink="">
        <xdr:nvSpPr>
          <xdr:cNvPr id="23707" name="AutoShape 12"/>
          <xdr:cNvSpPr>
            <a:spLocks noChangeArrowheads="1"/>
          </xdr:cNvSpPr>
        </xdr:nvSpPr>
        <xdr:spPr bwMode="auto">
          <a:xfrm>
            <a:off x="4720908" y="1103435"/>
            <a:ext cx="1603692" cy="1345541"/>
          </a:xfrm>
          <a:prstGeom prst="wedgeRoundRectCallout">
            <a:avLst>
              <a:gd name="adj1" fmla="val -68028"/>
              <a:gd name="adj2" fmla="val 100568"/>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 </a:t>
            </a:r>
          </a:p>
          <a:p>
            <a:pPr algn="l" rtl="0">
              <a:defRPr sz="1000"/>
            </a:pPr>
            <a:endParaRPr lang="en-AU" sz="1000" b="1" i="0" u="none" strike="noStrike" baseline="0">
              <a:solidFill>
                <a:srgbClr val="000000"/>
              </a:solidFill>
              <a:latin typeface="Arial"/>
              <a:cs typeface="Arial"/>
            </a:endParaRPr>
          </a:p>
        </xdr:txBody>
      </xdr:sp>
    </xdr:grpSp>
    <xdr:clientData/>
  </xdr:twoCellAnchor>
  <xdr:twoCellAnchor editAs="oneCell">
    <xdr:from>
      <xdr:col>1</xdr:col>
      <xdr:colOff>0</xdr:colOff>
      <xdr:row>62</xdr:row>
      <xdr:rowOff>0</xdr:rowOff>
    </xdr:from>
    <xdr:to>
      <xdr:col>17</xdr:col>
      <xdr:colOff>209550</xdr:colOff>
      <xdr:row>108</xdr:row>
      <xdr:rowOff>99742</xdr:rowOff>
    </xdr:to>
    <xdr:grpSp>
      <xdr:nvGrpSpPr>
        <xdr:cNvPr id="3" name="Group 2"/>
        <xdr:cNvGrpSpPr/>
      </xdr:nvGrpSpPr>
      <xdr:grpSpPr>
        <a:xfrm>
          <a:off x="114300" y="9991725"/>
          <a:ext cx="9486900" cy="7548292"/>
          <a:chOff x="114300" y="9991725"/>
          <a:chExt cx="9486900" cy="7548292"/>
        </a:xfrm>
      </xdr:grpSpPr>
      <xdr:pic>
        <xdr:nvPicPr>
          <xdr:cNvPr id="14"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6676" y="10144125"/>
            <a:ext cx="9282599" cy="7395892"/>
          </a:xfrm>
          <a:prstGeom prst="rect">
            <a:avLst/>
          </a:prstGeom>
        </xdr:spPr>
      </xdr:pic>
      <xdr:sp macro="" textlink="">
        <xdr:nvSpPr>
          <xdr:cNvPr id="23708" name="AutoShape 13"/>
          <xdr:cNvSpPr>
            <a:spLocks noChangeArrowheads="1"/>
          </xdr:cNvSpPr>
        </xdr:nvSpPr>
        <xdr:spPr bwMode="auto">
          <a:xfrm>
            <a:off x="3286125" y="10182225"/>
            <a:ext cx="1924050" cy="1835036"/>
          </a:xfrm>
          <a:prstGeom prst="wedgeRoundRectCallout">
            <a:avLst>
              <a:gd name="adj1" fmla="val 35146"/>
              <a:gd name="adj2" fmla="val 69286"/>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Facade areas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unique storey needs a separate calculator form. All facades on a storey can be entered on the same form.</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Where there are many different glazing elements, a separate calculator form can be used for each facade.</a:t>
            </a:r>
          </a:p>
          <a:p>
            <a:pPr algn="l" rtl="0">
              <a:defRPr sz="1000"/>
            </a:pPr>
            <a:endParaRPr lang="en-AU" sz="1000" b="1" i="0" u="none" strike="noStrike" baseline="0">
              <a:solidFill>
                <a:srgbClr val="000000"/>
              </a:solidFill>
              <a:latin typeface="Arial"/>
              <a:cs typeface="Arial"/>
            </a:endParaRPr>
          </a:p>
        </xdr:txBody>
      </xdr:sp>
      <xdr:sp macro="" textlink="">
        <xdr:nvSpPr>
          <xdr:cNvPr id="23709" name="AutoShape 14"/>
          <xdr:cNvSpPr>
            <a:spLocks noChangeArrowheads="1"/>
          </xdr:cNvSpPr>
        </xdr:nvSpPr>
        <xdr:spPr bwMode="auto">
          <a:xfrm>
            <a:off x="485775" y="12896850"/>
            <a:ext cx="1876425" cy="1345541"/>
          </a:xfrm>
          <a:prstGeom prst="wedgeRoundRectCallout">
            <a:avLst>
              <a:gd name="adj1" fmla="val 34771"/>
              <a:gd name="adj2" fmla="val 77402"/>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 </a:t>
            </a:r>
          </a:p>
          <a:p>
            <a:pPr algn="l" rtl="0">
              <a:defRPr sz="1000"/>
            </a:pPr>
            <a:endParaRPr lang="en-AU" sz="1000" b="1" i="0" u="none" strike="noStrike" baseline="0">
              <a:solidFill>
                <a:srgbClr val="000000"/>
              </a:solidFill>
              <a:latin typeface="Arial"/>
              <a:cs typeface="Arial"/>
            </a:endParaRPr>
          </a:p>
        </xdr:txBody>
      </xdr:sp>
      <xdr:sp macro="" textlink="">
        <xdr:nvSpPr>
          <xdr:cNvPr id="23710" name="AutoShape 16"/>
          <xdr:cNvSpPr>
            <a:spLocks noChangeArrowheads="1"/>
          </xdr:cNvSpPr>
        </xdr:nvSpPr>
        <xdr:spPr bwMode="auto">
          <a:xfrm>
            <a:off x="6276975" y="12163425"/>
            <a:ext cx="1657350" cy="1508706"/>
          </a:xfrm>
          <a:prstGeom prst="wedgeRoundRectCallout">
            <a:avLst>
              <a:gd name="adj1" fmla="val 40805"/>
              <a:gd name="adj2" fmla="val 90798"/>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1" i="0" u="none" strike="noStrike" baseline="0">
              <a:solidFill>
                <a:srgbClr val="000000"/>
              </a:solidFill>
              <a:latin typeface="Arial"/>
              <a:cs typeface="Arial"/>
            </a:endParaRPr>
          </a:p>
        </xdr:txBody>
      </xdr:sp>
      <xdr:sp macro="" textlink="">
        <xdr:nvSpPr>
          <xdr:cNvPr id="23711" name="AutoShape 17"/>
          <xdr:cNvSpPr>
            <a:spLocks noChangeArrowheads="1"/>
          </xdr:cNvSpPr>
        </xdr:nvSpPr>
        <xdr:spPr bwMode="auto">
          <a:xfrm>
            <a:off x="7991475" y="11953875"/>
            <a:ext cx="1609725" cy="1508706"/>
          </a:xfrm>
          <a:prstGeom prst="wedgeRoundRectCallout">
            <a:avLst>
              <a:gd name="adj1" fmla="val 4283"/>
              <a:gd name="adj2" fmla="val 66867"/>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 Green cell fill indicates passes. A cross and red text highlight failures.</a:t>
            </a:r>
          </a:p>
          <a:p>
            <a:pPr algn="l" rtl="0">
              <a:defRPr sz="1000"/>
            </a:pPr>
            <a:endParaRPr lang="en-AU" sz="1000" b="1" i="0" u="none" strike="noStrike" baseline="0">
              <a:solidFill>
                <a:srgbClr val="000000"/>
              </a:solidFill>
              <a:latin typeface="Arial"/>
              <a:cs typeface="Arial"/>
            </a:endParaRPr>
          </a:p>
        </xdr:txBody>
      </xdr:sp>
      <xdr:sp macro="" textlink="">
        <xdr:nvSpPr>
          <xdr:cNvPr id="23712" name="AutoShape 18"/>
          <xdr:cNvSpPr>
            <a:spLocks noChangeArrowheads="1"/>
          </xdr:cNvSpPr>
        </xdr:nvSpPr>
        <xdr:spPr bwMode="auto">
          <a:xfrm>
            <a:off x="2676524" y="12877801"/>
            <a:ext cx="2066925" cy="1182375"/>
          </a:xfrm>
          <a:prstGeom prst="wedgeRoundRectCallout">
            <a:avLst>
              <a:gd name="adj1" fmla="val -40828"/>
              <a:gd name="adj2" fmla="val 9756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Inputs barred:</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Grey cell fill indicates that user inputs would be inappropriate.</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this example, no areas have been given for Option B facades.)</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45" name="AutoShape 13"/>
          <xdr:cNvSpPr>
            <a:spLocks noChangeArrowheads="1"/>
          </xdr:cNvSpPr>
        </xdr:nvSpPr>
        <xdr:spPr bwMode="auto">
          <a:xfrm>
            <a:off x="114300" y="9991725"/>
            <a:ext cx="1924050" cy="1508706"/>
          </a:xfrm>
          <a:prstGeom prst="wedgeRoundRectCallout">
            <a:avLst>
              <a:gd name="adj1" fmla="val 32672"/>
              <a:gd name="adj2" fmla="val 72907"/>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(seen in Screenshot 1 above) will be replaced by yellow as data is entered.</a:t>
            </a:r>
          </a:p>
          <a:p>
            <a:pPr algn="l" rtl="0">
              <a:defRPr sz="1000"/>
            </a:pPr>
            <a:endParaRPr lang="en-AU" sz="1000" b="1" i="0" u="none" strike="noStrike" baseline="0">
              <a:solidFill>
                <a:srgbClr val="000000"/>
              </a:solidFill>
              <a:latin typeface="Arial"/>
              <a:cs typeface="Arial"/>
            </a:endParaRPr>
          </a:p>
        </xdr:txBody>
      </xdr:sp>
    </xdr:grpSp>
    <xdr:clientData/>
  </xdr:twoCellAnchor>
  <xdr:twoCellAnchor editAs="oneCell">
    <xdr:from>
      <xdr:col>0</xdr:col>
      <xdr:colOff>85725</xdr:colOff>
      <xdr:row>120</xdr:row>
      <xdr:rowOff>9526</xdr:rowOff>
    </xdr:from>
    <xdr:to>
      <xdr:col>16</xdr:col>
      <xdr:colOff>295275</xdr:colOff>
      <xdr:row>164</xdr:row>
      <xdr:rowOff>122578</xdr:rowOff>
    </xdr:to>
    <xdr:grpSp>
      <xdr:nvGrpSpPr>
        <xdr:cNvPr id="7" name="Group 6"/>
        <xdr:cNvGrpSpPr/>
      </xdr:nvGrpSpPr>
      <xdr:grpSpPr>
        <a:xfrm>
          <a:off x="85725" y="19611976"/>
          <a:ext cx="9229725" cy="7237752"/>
          <a:chOff x="85725" y="19611976"/>
          <a:chExt cx="9229725" cy="7237752"/>
        </a:xfrm>
      </xdr:grpSpPr>
      <xdr:pic>
        <xdr:nvPicPr>
          <xdr:cNvPr id="10" name="Picture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9185" y="19611976"/>
            <a:ext cx="9126265" cy="7237752"/>
          </a:xfrm>
          <a:prstGeom prst="rect">
            <a:avLst/>
          </a:prstGeom>
        </xdr:spPr>
      </xdr:pic>
      <xdr:sp macro="" textlink="">
        <xdr:nvSpPr>
          <xdr:cNvPr id="23713" name="AutoShape 20"/>
          <xdr:cNvSpPr>
            <a:spLocks noChangeArrowheads="1"/>
          </xdr:cNvSpPr>
        </xdr:nvSpPr>
        <xdr:spPr bwMode="auto">
          <a:xfrm>
            <a:off x="85725" y="19850099"/>
            <a:ext cx="1590675" cy="1345541"/>
          </a:xfrm>
          <a:prstGeom prst="wedgeRoundRectCallout">
            <a:avLst>
              <a:gd name="adj1" fmla="val -12227"/>
              <a:gd name="adj2" fmla="val 8022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Messages for upper inputs: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Tan cell fill indicates missing or invalid inputs.</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Text in red font offers advice on remedies. </a:t>
            </a:r>
          </a:p>
          <a:p>
            <a:pPr algn="l" rtl="0">
              <a:defRPr sz="1000"/>
            </a:pPr>
            <a:endParaRPr lang="en-AU" sz="1000" b="1" i="0" u="none" strike="noStrike" baseline="0">
              <a:solidFill>
                <a:srgbClr val="000000"/>
              </a:solidFill>
              <a:latin typeface="Arial"/>
              <a:cs typeface="Arial"/>
            </a:endParaRPr>
          </a:p>
        </xdr:txBody>
      </xdr:sp>
      <xdr:sp macro="" textlink="">
        <xdr:nvSpPr>
          <xdr:cNvPr id="23715" name="AutoShape 22"/>
          <xdr:cNvSpPr>
            <a:spLocks noChangeArrowheads="1"/>
          </xdr:cNvSpPr>
        </xdr:nvSpPr>
        <xdr:spPr bwMode="auto">
          <a:xfrm>
            <a:off x="866775" y="22821899"/>
            <a:ext cx="1295400" cy="1019210"/>
          </a:xfrm>
          <a:prstGeom prst="wedgeRoundRectCallout">
            <a:avLst>
              <a:gd name="adj1" fmla="val 45587"/>
              <a:gd name="adj2" fmla="val 86081"/>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alert messages.</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30" name="AutoShape 23"/>
          <xdr:cNvSpPr>
            <a:spLocks noChangeArrowheads="1"/>
          </xdr:cNvSpPr>
        </xdr:nvSpPr>
        <xdr:spPr bwMode="auto">
          <a:xfrm>
            <a:off x="3686175" y="24822149"/>
            <a:ext cx="2143125" cy="1681874"/>
          </a:xfrm>
          <a:prstGeom prst="wedgeRoundRectCallout">
            <a:avLst>
              <a:gd name="adj1" fmla="val 68267"/>
              <a:gd name="adj2" fmla="val -53277"/>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Font highlighting:</a:t>
            </a:r>
            <a:endParaRPr lang="en-AU" sz="1000" b="0" i="0" u="none" strike="noStrike" baseline="0">
              <a:solidFill>
                <a:srgbClr val="000000"/>
              </a:solidFill>
              <a:latin typeface="Arial"/>
              <a:cs typeface="Arial"/>
            </a:endParaRPr>
          </a:p>
          <a:p>
            <a:pPr algn="l" rtl="0">
              <a:defRPr sz="1000"/>
            </a:pPr>
            <a:r>
              <a:rPr lang="en-AU" sz="1000" b="0" i="0" baseline="0">
                <a:effectLst/>
                <a:latin typeface="Arial" pitchFamily="34" charset="0"/>
                <a:ea typeface="+mn-ea"/>
                <a:cs typeface="Arial" pitchFamily="34" charset="0"/>
              </a:rPr>
              <a:t>Cell tips in several column headings explain font highlighting.</a:t>
            </a:r>
          </a:p>
          <a:p>
            <a:pPr algn="l" rtl="0">
              <a:defRPr sz="1000"/>
            </a:pPr>
            <a:endParaRPr lang="en-AU" sz="1000" b="0" i="0" u="none" strike="noStrike" baseline="0">
              <a:solidFill>
                <a:srgbClr val="000000"/>
              </a:solidFill>
              <a:effectLst/>
              <a:latin typeface="+mn-lt"/>
              <a:ea typeface="+mn-ea"/>
              <a:cs typeface="+mn-cs"/>
            </a:endParaRPr>
          </a:p>
          <a:p>
            <a:pPr algn="l" rtl="0">
              <a:defRPr sz="1000"/>
            </a:pPr>
            <a:r>
              <a:rPr lang="en-AU" sz="1000" b="0" i="1" u="none" strike="noStrike" baseline="0">
                <a:solidFill>
                  <a:srgbClr val="000000"/>
                </a:solidFill>
                <a:latin typeface="Arial"/>
                <a:cs typeface="Arial"/>
              </a:rPr>
              <a:t>(Orange bold font here indicates that the Calculator is automatically applying the maximum shading effect for a shading device and for internal glazing.)</a:t>
            </a:r>
          </a:p>
          <a:p>
            <a:pPr algn="l" rtl="0">
              <a:defRPr sz="1000"/>
            </a:pPr>
            <a:endParaRPr lang="en-AU" sz="1000" b="1" i="0" u="none" strike="noStrike" baseline="0">
              <a:solidFill>
                <a:srgbClr val="000000"/>
              </a:solidFill>
              <a:latin typeface="Arial"/>
              <a:cs typeface="Arial"/>
            </a:endParaRPr>
          </a:p>
        </xdr:txBody>
      </xdr:sp>
      <xdr:sp macro="" textlink="">
        <xdr:nvSpPr>
          <xdr:cNvPr id="33" name="AutoShape 20"/>
          <xdr:cNvSpPr>
            <a:spLocks noChangeArrowheads="1"/>
          </xdr:cNvSpPr>
        </xdr:nvSpPr>
        <xdr:spPr bwMode="auto">
          <a:xfrm>
            <a:off x="5353049" y="19992974"/>
            <a:ext cx="1914526" cy="1508706"/>
          </a:xfrm>
          <a:prstGeom prst="wedgeRoundRectCallout">
            <a:avLst>
              <a:gd name="adj1" fmla="val 36090"/>
              <a:gd name="adj2" fmla="val 77960"/>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Messages for Facade areas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Tan cell fill indicates missing or invalid inputs in the table.</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Advice on remedies for issues in the table may appear to the right of the table.</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23714" name="AutoShape 21"/>
          <xdr:cNvSpPr>
            <a:spLocks noChangeArrowheads="1"/>
          </xdr:cNvSpPr>
        </xdr:nvSpPr>
        <xdr:spPr bwMode="auto">
          <a:xfrm>
            <a:off x="7934325" y="21383625"/>
            <a:ext cx="1333500" cy="1019210"/>
          </a:xfrm>
          <a:prstGeom prst="wedgeRoundRectCallout">
            <a:avLst>
              <a:gd name="adj1" fmla="val -46431"/>
              <a:gd name="adj2" fmla="val 78155"/>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have been resolved.</a:t>
            </a:r>
            <a:endParaRPr lang="en-AU" sz="1000" b="1" i="0"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sp macro="" textlink="">
        <xdr:nvSpPr>
          <xdr:cNvPr id="23716" name="AutoShape 23"/>
          <xdr:cNvSpPr>
            <a:spLocks noChangeArrowheads="1"/>
          </xdr:cNvSpPr>
        </xdr:nvSpPr>
        <xdr:spPr bwMode="auto">
          <a:xfrm>
            <a:off x="4133850" y="22045018"/>
            <a:ext cx="2085975" cy="1998202"/>
          </a:xfrm>
          <a:prstGeom prst="wedgeRoundRectCallout">
            <a:avLst>
              <a:gd name="adj1" fmla="val 50911"/>
              <a:gd name="adj2" fmla="val 66506"/>
              <a:gd name="adj3" fmla="val 16667"/>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18000" tIns="18000" rIns="18000" bIns="1800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a:t>
            </a:r>
          </a:p>
          <a:p>
            <a:pPr algn="l" rtl="0">
              <a:defRPr sz="1000"/>
            </a:pPr>
            <a:endParaRPr lang="en-AU" sz="1000" b="0" i="0" u="none" strike="noStrike" baseline="0">
              <a:solidFill>
                <a:srgbClr val="000000"/>
              </a:solidFill>
              <a:latin typeface="Arial"/>
              <a:cs typeface="Arial"/>
            </a:endParaRPr>
          </a:p>
          <a:p>
            <a:pPr algn="l" rtl="0">
              <a:defRPr sz="1000"/>
            </a:pPr>
            <a:r>
              <a:rPr lang="en-AU" sz="1000" b="0" i="1" u="none" strike="noStrike" baseline="0">
                <a:solidFill>
                  <a:srgbClr val="000000"/>
                </a:solidFill>
                <a:latin typeface="Arial"/>
                <a:cs typeface="Arial"/>
              </a:rPr>
              <a:t>(In this case, the sector listed is for a facade with no area. The sector would become valid once the facade area has been given.)</a:t>
            </a:r>
          </a:p>
          <a:p>
            <a:pPr algn="l" rtl="0">
              <a:defRPr sz="1000"/>
            </a:pPr>
            <a:endParaRPr lang="en-AU" sz="1000" b="1" i="1" u="none" strike="noStrike" baseline="0">
              <a:solidFill>
                <a:srgbClr val="000000"/>
              </a:solidFill>
              <a:latin typeface="Arial"/>
              <a:cs typeface="Arial"/>
            </a:endParaRPr>
          </a:p>
          <a:p>
            <a:pPr algn="l" rtl="0">
              <a:defRPr sz="1000"/>
            </a:pPr>
            <a:endParaRPr lang="en-AU" sz="1000" b="1" i="0" u="none" strike="noStrike" baseline="0">
              <a:solidFill>
                <a:srgbClr val="000000"/>
              </a:solidFill>
              <a:latin typeface="Arial"/>
              <a:cs typeface="Arial"/>
            </a:endParaRPr>
          </a:p>
        </xdr:txBody>
      </xdr:sp>
    </xdr:grpSp>
    <xdr:clientData/>
  </xdr:twoCellAnchor>
  <xdr:twoCellAnchor editAs="oneCell">
    <xdr:from>
      <xdr:col>6</xdr:col>
      <xdr:colOff>428626</xdr:colOff>
      <xdr:row>13</xdr:row>
      <xdr:rowOff>104775</xdr:rowOff>
    </xdr:from>
    <xdr:to>
      <xdr:col>8</xdr:col>
      <xdr:colOff>323850</xdr:colOff>
      <xdr:row>22</xdr:row>
      <xdr:rowOff>67443</xdr:rowOff>
    </xdr:to>
    <xdr:pic>
      <xdr:nvPicPr>
        <xdr:cNvPr id="5" name="Picture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52801" y="1943100"/>
          <a:ext cx="1114424" cy="1419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0</xdr:rowOff>
    </xdr:from>
    <xdr:to>
      <xdr:col>20</xdr:col>
      <xdr:colOff>0</xdr:colOff>
      <xdr:row>17</xdr:row>
      <xdr:rowOff>0</xdr:rowOff>
    </xdr:to>
    <xdr:sp macro="" textlink="$B$17">
      <xdr:nvSpPr>
        <xdr:cNvPr id="24662" name="Text Box 323"/>
        <xdr:cNvSpPr txBox="1">
          <a:spLocks noChangeArrowheads="1"/>
        </xdr:cNvSpPr>
      </xdr:nvSpPr>
      <xdr:spPr bwMode="auto">
        <a:xfrm>
          <a:off x="114300" y="0"/>
          <a:ext cx="9267825" cy="323850"/>
        </a:xfrm>
        <a:prstGeom prst="rect">
          <a:avLst/>
        </a:prstGeom>
        <a:gradFill rotWithShape="1">
          <a:gsLst>
            <a:gs pos="0">
              <a:srgbClr val="000080"/>
            </a:gs>
            <a:gs pos="50000">
              <a:srgbClr val="0000FF"/>
            </a:gs>
            <a:gs pos="100000">
              <a:srgbClr val="000080"/>
            </a:gs>
          </a:gsLst>
          <a:lin ang="0" scaled="1"/>
        </a:gradFill>
        <a:ln w="9525">
          <a:noFill/>
          <a:miter lim="800000"/>
          <a:headEnd/>
          <a:tailEnd/>
        </a:ln>
      </xdr:spPr>
      <xdr:txBody>
        <a:bodyPr vertOverflow="clip" wrap="square" lIns="108000" tIns="46800" rIns="90000" bIns="46800" anchor="ctr" upright="1"/>
        <a:lstStyle/>
        <a:p>
          <a:pPr algn="l" rtl="0">
            <a:defRPr sz="1000"/>
          </a:pPr>
          <a:fld id="{8F6308E2-4781-4823-A8C0-9E0B5FC6498E}" type="TxLink">
            <a:rPr lang="en-AU" sz="1500" b="1" i="1" u="none" strike="noStrike" baseline="0">
              <a:solidFill>
                <a:srgbClr val="FFFFFF"/>
              </a:solidFill>
              <a:latin typeface="Arial"/>
              <a:cs typeface="Arial"/>
            </a:rPr>
            <a:pPr algn="l" rtl="0">
              <a:defRPr sz="1000"/>
            </a:pPr>
            <a:t>BCA VOLUME ONE GLAZING CALCULATOR (first issued with BCA 2013) </a:t>
          </a:fld>
          <a:endParaRPr lang="en-AU" sz="1500" b="1" i="1" u="none" strike="noStrike" baseline="0">
            <a:solidFill>
              <a:srgbClr val="FFFFFF"/>
            </a:solidFill>
            <a:latin typeface="Arial"/>
            <a:cs typeface="Arial"/>
          </a:endParaRPr>
        </a:p>
      </xdr:txBody>
    </xdr:sp>
    <xdr:clientData fPrintsWithSheet="0"/>
  </xdr:twoCellAnchor>
  <xdr:twoCellAnchor>
    <xdr:from>
      <xdr:col>11</xdr:col>
      <xdr:colOff>0</xdr:colOff>
      <xdr:row>32</xdr:row>
      <xdr:rowOff>0</xdr:rowOff>
    </xdr:from>
    <xdr:to>
      <xdr:col>11</xdr:col>
      <xdr:colOff>0</xdr:colOff>
      <xdr:row>112</xdr:row>
      <xdr:rowOff>0</xdr:rowOff>
    </xdr:to>
    <xdr:sp macro="" textlink="">
      <xdr:nvSpPr>
        <xdr:cNvPr id="28882" name="Rectangle 5"/>
        <xdr:cNvSpPr>
          <a:spLocks noChangeArrowheads="1"/>
        </xdr:cNvSpPr>
      </xdr:nvSpPr>
      <xdr:spPr bwMode="auto">
        <a:xfrm>
          <a:off x="5076825" y="3133725"/>
          <a:ext cx="0" cy="1628775"/>
        </a:xfrm>
        <a:prstGeom prst="rect">
          <a:avLst/>
        </a:prstGeom>
        <a:solidFill>
          <a:srgbClr val="FFCC99">
            <a:alpha val="39999"/>
          </a:srgbClr>
        </a:solidFill>
        <a:ln w="9525">
          <a:noFill/>
          <a:miter lim="800000"/>
          <a:headEnd/>
          <a:tailEnd/>
        </a:ln>
      </xdr:spPr>
    </xdr:sp>
    <xdr:clientData fPrintsWithSheet="0"/>
  </xdr:twoCellAnchor>
  <xdr:twoCellAnchor editAs="oneCell">
    <xdr:from>
      <xdr:col>19</xdr:col>
      <xdr:colOff>0</xdr:colOff>
      <xdr:row>16</xdr:row>
      <xdr:rowOff>66675</xdr:rowOff>
    </xdr:from>
    <xdr:to>
      <xdr:col>19</xdr:col>
      <xdr:colOff>838200</xdr:colOff>
      <xdr:row>16</xdr:row>
      <xdr:rowOff>257175</xdr:rowOff>
    </xdr:to>
    <xdr:sp macro="" textlink="">
      <xdr:nvSpPr>
        <xdr:cNvPr id="24664" name="AutoShape 231">
          <a:hlinkClick xmlns:r="http://schemas.openxmlformats.org/officeDocument/2006/relationships" r:id="rId1" tooltip="Click here to go to the Help screen"/>
        </xdr:cNvPr>
        <xdr:cNvSpPr>
          <a:spLocks noChangeArrowheads="1"/>
        </xdr:cNvSpPr>
      </xdr:nvSpPr>
      <xdr:spPr bwMode="auto">
        <a:xfrm>
          <a:off x="8458200" y="66675"/>
          <a:ext cx="838200" cy="190500"/>
        </a:xfrm>
        <a:prstGeom prst="roundRect">
          <a:avLst>
            <a:gd name="adj" fmla="val 16667"/>
          </a:avLst>
        </a:prstGeom>
        <a:gradFill rotWithShape="1">
          <a:gsLst>
            <a:gs pos="0">
              <a:srgbClr val="99CCFF"/>
            </a:gs>
            <a:gs pos="100000">
              <a:srgbClr val="99CCFF">
                <a:gamma/>
                <a:shade val="46275"/>
                <a:invGamma/>
              </a:srgbClr>
            </a:gs>
          </a:gsLst>
          <a:lin ang="5400000" scaled="1"/>
        </a:gradFill>
        <a:ln w="9525">
          <a:solidFill>
            <a:srgbClr val="99CCFF"/>
          </a:solidFill>
          <a:round/>
          <a:headEnd/>
          <a:tailEnd/>
        </a:ln>
      </xdr:spPr>
      <xdr:txBody>
        <a:bodyPr vertOverflow="clip" wrap="square" lIns="28800" tIns="0" rIns="28800" bIns="0" anchor="ctr"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xdr:col>
      <xdr:colOff>0</xdr:colOff>
      <xdr:row>28</xdr:row>
      <xdr:rowOff>0</xdr:rowOff>
    </xdr:from>
    <xdr:to>
      <xdr:col>7</xdr:col>
      <xdr:colOff>0</xdr:colOff>
      <xdr:row>28</xdr:row>
      <xdr:rowOff>0</xdr:rowOff>
    </xdr:to>
    <xdr:sp macro="" textlink="">
      <xdr:nvSpPr>
        <xdr:cNvPr id="28884" name="Line 339"/>
        <xdr:cNvSpPr>
          <a:spLocks noChangeShapeType="1"/>
        </xdr:cNvSpPr>
      </xdr:nvSpPr>
      <xdr:spPr bwMode="auto">
        <a:xfrm>
          <a:off x="114300" y="2219325"/>
          <a:ext cx="2905125" cy="0"/>
        </a:xfrm>
        <a:prstGeom prst="line">
          <a:avLst/>
        </a:prstGeom>
        <a:noFill/>
        <a:ln w="9525">
          <a:solidFill>
            <a:srgbClr val="969696"/>
          </a:solidFill>
          <a:round/>
          <a:headEnd/>
          <a:tailEnd/>
        </a:ln>
      </xdr:spPr>
    </xdr:sp>
    <xdr:clientData/>
  </xdr:twoCellAnchor>
  <xdr:twoCellAnchor>
    <xdr:from>
      <xdr:col>14</xdr:col>
      <xdr:colOff>0</xdr:colOff>
      <xdr:row>34</xdr:row>
      <xdr:rowOff>0</xdr:rowOff>
    </xdr:from>
    <xdr:to>
      <xdr:col>20</xdr:col>
      <xdr:colOff>0</xdr:colOff>
      <xdr:row>35</xdr:row>
      <xdr:rowOff>0</xdr:rowOff>
    </xdr:to>
    <xdr:sp macro="" textlink="AY35">
      <xdr:nvSpPr>
        <xdr:cNvPr id="24667" name="Text Box 744"/>
        <xdr:cNvSpPr txBox="1">
          <a:spLocks noChangeArrowheads="1"/>
        </xdr:cNvSpPr>
      </xdr:nvSpPr>
      <xdr:spPr bwMode="auto">
        <a:xfrm>
          <a:off x="6324600" y="34385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B1EF1F3-6E60-42CB-8149-5900A53DE14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32</xdr:row>
      <xdr:rowOff>0</xdr:rowOff>
    </xdr:from>
    <xdr:to>
      <xdr:col>20</xdr:col>
      <xdr:colOff>0</xdr:colOff>
      <xdr:row>33</xdr:row>
      <xdr:rowOff>0</xdr:rowOff>
    </xdr:to>
    <xdr:sp macro="" textlink="AY33">
      <xdr:nvSpPr>
        <xdr:cNvPr id="24668" name="Text Box 745"/>
        <xdr:cNvSpPr txBox="1">
          <a:spLocks noChangeArrowheads="1"/>
        </xdr:cNvSpPr>
      </xdr:nvSpPr>
      <xdr:spPr bwMode="auto">
        <a:xfrm>
          <a:off x="6591300" y="3181350"/>
          <a:ext cx="3048000" cy="171450"/>
        </a:xfrm>
        <a:prstGeom prst="rect">
          <a:avLst/>
        </a:prstGeom>
        <a:noFill/>
        <a:ln w="9525" algn="ctr">
          <a:noFill/>
          <a:miter lim="800000"/>
          <a:headEnd/>
          <a:tailEnd/>
        </a:ln>
      </xdr:spPr>
      <xdr:txBody>
        <a:bodyPr vertOverflow="clip" wrap="square" lIns="72000" tIns="0" rIns="0" bIns="0" anchor="ctr" upright="1"/>
        <a:lstStyle/>
        <a:p>
          <a:pPr algn="l" rtl="0">
            <a:defRPr sz="1000"/>
          </a:pPr>
          <a:fld id="{C06B6C29-DC2B-4BB6-8909-831F3D161E7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33</xdr:row>
      <xdr:rowOff>0</xdr:rowOff>
    </xdr:from>
    <xdr:to>
      <xdr:col>20</xdr:col>
      <xdr:colOff>0</xdr:colOff>
      <xdr:row>34</xdr:row>
      <xdr:rowOff>0</xdr:rowOff>
    </xdr:to>
    <xdr:sp macro="" textlink="AY34">
      <xdr:nvSpPr>
        <xdr:cNvPr id="24669" name="Text Box 746"/>
        <xdr:cNvSpPr txBox="1">
          <a:spLocks noChangeArrowheads="1"/>
        </xdr:cNvSpPr>
      </xdr:nvSpPr>
      <xdr:spPr bwMode="auto">
        <a:xfrm>
          <a:off x="6324600" y="32766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D5CA61E-93D2-4B82-BB55-115AC5E6144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35</xdr:row>
      <xdr:rowOff>0</xdr:rowOff>
    </xdr:from>
    <xdr:to>
      <xdr:col>20</xdr:col>
      <xdr:colOff>0</xdr:colOff>
      <xdr:row>36</xdr:row>
      <xdr:rowOff>0</xdr:rowOff>
    </xdr:to>
    <xdr:sp macro="" textlink="AY36">
      <xdr:nvSpPr>
        <xdr:cNvPr id="24670" name="Text Box 747"/>
        <xdr:cNvSpPr txBox="1">
          <a:spLocks noChangeArrowheads="1"/>
        </xdr:cNvSpPr>
      </xdr:nvSpPr>
      <xdr:spPr bwMode="auto">
        <a:xfrm>
          <a:off x="6324600" y="36004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DE4C257-BB96-4622-8FE9-9C28FA83F82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36</xdr:row>
      <xdr:rowOff>0</xdr:rowOff>
    </xdr:from>
    <xdr:to>
      <xdr:col>20</xdr:col>
      <xdr:colOff>0</xdr:colOff>
      <xdr:row>37</xdr:row>
      <xdr:rowOff>0</xdr:rowOff>
    </xdr:to>
    <xdr:sp macro="" textlink="AY37">
      <xdr:nvSpPr>
        <xdr:cNvPr id="24671" name="Text Box 748"/>
        <xdr:cNvSpPr txBox="1">
          <a:spLocks noChangeArrowheads="1"/>
        </xdr:cNvSpPr>
      </xdr:nvSpPr>
      <xdr:spPr bwMode="auto">
        <a:xfrm>
          <a:off x="6324600" y="37623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F2C6355-B623-4BA7-8CCF-361DC8C6730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37</xdr:row>
      <xdr:rowOff>0</xdr:rowOff>
    </xdr:from>
    <xdr:to>
      <xdr:col>20</xdr:col>
      <xdr:colOff>0</xdr:colOff>
      <xdr:row>38</xdr:row>
      <xdr:rowOff>0</xdr:rowOff>
    </xdr:to>
    <xdr:sp macro="" textlink="AY38">
      <xdr:nvSpPr>
        <xdr:cNvPr id="24672" name="Text Box 749"/>
        <xdr:cNvSpPr txBox="1">
          <a:spLocks noChangeArrowheads="1"/>
        </xdr:cNvSpPr>
      </xdr:nvSpPr>
      <xdr:spPr bwMode="auto">
        <a:xfrm>
          <a:off x="6324600" y="39243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CB79A65-5213-426C-A4DD-49945A72881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38</xdr:row>
      <xdr:rowOff>0</xdr:rowOff>
    </xdr:from>
    <xdr:to>
      <xdr:col>20</xdr:col>
      <xdr:colOff>0</xdr:colOff>
      <xdr:row>39</xdr:row>
      <xdr:rowOff>0</xdr:rowOff>
    </xdr:to>
    <xdr:sp macro="" textlink="AY39">
      <xdr:nvSpPr>
        <xdr:cNvPr id="24673" name="Text Box 750"/>
        <xdr:cNvSpPr txBox="1">
          <a:spLocks noChangeArrowheads="1"/>
        </xdr:cNvSpPr>
      </xdr:nvSpPr>
      <xdr:spPr bwMode="auto">
        <a:xfrm>
          <a:off x="6324600" y="40862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CBA108E-D015-434D-B1AC-BADEA0E24A3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39</xdr:row>
      <xdr:rowOff>0</xdr:rowOff>
    </xdr:from>
    <xdr:to>
      <xdr:col>20</xdr:col>
      <xdr:colOff>0</xdr:colOff>
      <xdr:row>40</xdr:row>
      <xdr:rowOff>0</xdr:rowOff>
    </xdr:to>
    <xdr:sp macro="" textlink="AY40">
      <xdr:nvSpPr>
        <xdr:cNvPr id="24674" name="Text Box 751"/>
        <xdr:cNvSpPr txBox="1">
          <a:spLocks noChangeArrowheads="1"/>
        </xdr:cNvSpPr>
      </xdr:nvSpPr>
      <xdr:spPr bwMode="auto">
        <a:xfrm>
          <a:off x="6324600" y="42481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257C3CE-6F49-4BDF-AA20-FB60833E328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40</xdr:row>
      <xdr:rowOff>0</xdr:rowOff>
    </xdr:from>
    <xdr:to>
      <xdr:col>20</xdr:col>
      <xdr:colOff>0</xdr:colOff>
      <xdr:row>41</xdr:row>
      <xdr:rowOff>0</xdr:rowOff>
    </xdr:to>
    <xdr:sp macro="" textlink="AY41">
      <xdr:nvSpPr>
        <xdr:cNvPr id="24675" name="Text Box 752"/>
        <xdr:cNvSpPr txBox="1">
          <a:spLocks noChangeArrowheads="1"/>
        </xdr:cNvSpPr>
      </xdr:nvSpPr>
      <xdr:spPr bwMode="auto">
        <a:xfrm>
          <a:off x="6324600" y="44100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2D52DAA-DDF5-4DAA-9A5C-4C4BCE04965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41</xdr:row>
      <xdr:rowOff>0</xdr:rowOff>
    </xdr:from>
    <xdr:to>
      <xdr:col>20</xdr:col>
      <xdr:colOff>0</xdr:colOff>
      <xdr:row>42</xdr:row>
      <xdr:rowOff>0</xdr:rowOff>
    </xdr:to>
    <xdr:sp macro="" textlink="AY42">
      <xdr:nvSpPr>
        <xdr:cNvPr id="24676" name="Text Box 753"/>
        <xdr:cNvSpPr txBox="1">
          <a:spLocks noChangeArrowheads="1"/>
        </xdr:cNvSpPr>
      </xdr:nvSpPr>
      <xdr:spPr bwMode="auto">
        <a:xfrm>
          <a:off x="6324600" y="45720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51C58CE-59E2-4226-9394-4BC2BF5E570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42</xdr:row>
      <xdr:rowOff>0</xdr:rowOff>
    </xdr:from>
    <xdr:to>
      <xdr:col>20</xdr:col>
      <xdr:colOff>0</xdr:colOff>
      <xdr:row>43</xdr:row>
      <xdr:rowOff>0</xdr:rowOff>
    </xdr:to>
    <xdr:sp macro="" textlink="AY43">
      <xdr:nvSpPr>
        <xdr:cNvPr id="24677" name="Text Box 754"/>
        <xdr:cNvSpPr txBox="1">
          <a:spLocks noChangeArrowheads="1"/>
        </xdr:cNvSpPr>
      </xdr:nvSpPr>
      <xdr:spPr bwMode="auto">
        <a:xfrm>
          <a:off x="6324600" y="47339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FB185D90-9CE2-4C9E-9AE2-DAF8D8CEAE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44</xdr:row>
      <xdr:rowOff>0</xdr:rowOff>
    </xdr:from>
    <xdr:to>
      <xdr:col>20</xdr:col>
      <xdr:colOff>0</xdr:colOff>
      <xdr:row>45</xdr:row>
      <xdr:rowOff>0</xdr:rowOff>
    </xdr:to>
    <xdr:sp macro="" textlink="AY45">
      <xdr:nvSpPr>
        <xdr:cNvPr id="24678" name="Text Box 755"/>
        <xdr:cNvSpPr txBox="1">
          <a:spLocks noChangeArrowheads="1"/>
        </xdr:cNvSpPr>
      </xdr:nvSpPr>
      <xdr:spPr bwMode="auto">
        <a:xfrm>
          <a:off x="6324600" y="50577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BCDA04C8-53A7-4DB6-A7EB-F985089AF0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43</xdr:row>
      <xdr:rowOff>0</xdr:rowOff>
    </xdr:from>
    <xdr:to>
      <xdr:col>20</xdr:col>
      <xdr:colOff>0</xdr:colOff>
      <xdr:row>44</xdr:row>
      <xdr:rowOff>0</xdr:rowOff>
    </xdr:to>
    <xdr:sp macro="" textlink="AY44">
      <xdr:nvSpPr>
        <xdr:cNvPr id="24679" name="Text Box 756"/>
        <xdr:cNvSpPr txBox="1">
          <a:spLocks noChangeArrowheads="1"/>
        </xdr:cNvSpPr>
      </xdr:nvSpPr>
      <xdr:spPr bwMode="auto">
        <a:xfrm>
          <a:off x="6324600" y="48958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23EBD012-98A0-4937-B9C1-6BF4616A39C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45</xdr:row>
      <xdr:rowOff>0</xdr:rowOff>
    </xdr:from>
    <xdr:to>
      <xdr:col>20</xdr:col>
      <xdr:colOff>0</xdr:colOff>
      <xdr:row>46</xdr:row>
      <xdr:rowOff>0</xdr:rowOff>
    </xdr:to>
    <xdr:sp macro="" textlink="AY46">
      <xdr:nvSpPr>
        <xdr:cNvPr id="24680" name="Text Box 757"/>
        <xdr:cNvSpPr txBox="1">
          <a:spLocks noChangeArrowheads="1"/>
        </xdr:cNvSpPr>
      </xdr:nvSpPr>
      <xdr:spPr bwMode="auto">
        <a:xfrm>
          <a:off x="6324600" y="52197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F01DDA8F-D91A-4770-9AE2-AB6DC0FFB1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46</xdr:row>
      <xdr:rowOff>0</xdr:rowOff>
    </xdr:from>
    <xdr:to>
      <xdr:col>20</xdr:col>
      <xdr:colOff>0</xdr:colOff>
      <xdr:row>47</xdr:row>
      <xdr:rowOff>0</xdr:rowOff>
    </xdr:to>
    <xdr:sp macro="" textlink="AY47">
      <xdr:nvSpPr>
        <xdr:cNvPr id="24681" name="Text Box 758"/>
        <xdr:cNvSpPr txBox="1">
          <a:spLocks noChangeArrowheads="1"/>
        </xdr:cNvSpPr>
      </xdr:nvSpPr>
      <xdr:spPr bwMode="auto">
        <a:xfrm>
          <a:off x="6324600" y="53816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63171BA-A4D5-467A-8302-D992644353F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47</xdr:row>
      <xdr:rowOff>0</xdr:rowOff>
    </xdr:from>
    <xdr:to>
      <xdr:col>20</xdr:col>
      <xdr:colOff>0</xdr:colOff>
      <xdr:row>48</xdr:row>
      <xdr:rowOff>0</xdr:rowOff>
    </xdr:to>
    <xdr:sp macro="" textlink="AY48">
      <xdr:nvSpPr>
        <xdr:cNvPr id="24682" name="Text Box 759"/>
        <xdr:cNvSpPr txBox="1">
          <a:spLocks noChangeArrowheads="1"/>
        </xdr:cNvSpPr>
      </xdr:nvSpPr>
      <xdr:spPr bwMode="auto">
        <a:xfrm>
          <a:off x="6324600" y="55435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E6CD7E24-C304-463A-9EA9-ACD75DDB49A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48</xdr:row>
      <xdr:rowOff>0</xdr:rowOff>
    </xdr:from>
    <xdr:to>
      <xdr:col>20</xdr:col>
      <xdr:colOff>0</xdr:colOff>
      <xdr:row>49</xdr:row>
      <xdr:rowOff>0</xdr:rowOff>
    </xdr:to>
    <xdr:sp macro="" textlink="AY49">
      <xdr:nvSpPr>
        <xdr:cNvPr id="24683" name="Text Box 760"/>
        <xdr:cNvSpPr txBox="1">
          <a:spLocks noChangeArrowheads="1"/>
        </xdr:cNvSpPr>
      </xdr:nvSpPr>
      <xdr:spPr bwMode="auto">
        <a:xfrm>
          <a:off x="6324600" y="57054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3F21412-94AF-43EE-A445-9C5879942AD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49</xdr:row>
      <xdr:rowOff>0</xdr:rowOff>
    </xdr:from>
    <xdr:to>
      <xdr:col>20</xdr:col>
      <xdr:colOff>0</xdr:colOff>
      <xdr:row>50</xdr:row>
      <xdr:rowOff>0</xdr:rowOff>
    </xdr:to>
    <xdr:sp macro="" textlink="AY50">
      <xdr:nvSpPr>
        <xdr:cNvPr id="24684" name="Text Box 761"/>
        <xdr:cNvSpPr txBox="1">
          <a:spLocks noChangeArrowheads="1"/>
        </xdr:cNvSpPr>
      </xdr:nvSpPr>
      <xdr:spPr bwMode="auto">
        <a:xfrm>
          <a:off x="6324600" y="58674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17221987-7D38-4B53-B4ED-FC95B22AC1D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50</xdr:row>
      <xdr:rowOff>0</xdr:rowOff>
    </xdr:from>
    <xdr:to>
      <xdr:col>20</xdr:col>
      <xdr:colOff>0</xdr:colOff>
      <xdr:row>51</xdr:row>
      <xdr:rowOff>0</xdr:rowOff>
    </xdr:to>
    <xdr:sp macro="" textlink="AY51">
      <xdr:nvSpPr>
        <xdr:cNvPr id="24685" name="Text Box 762"/>
        <xdr:cNvSpPr txBox="1">
          <a:spLocks noChangeArrowheads="1"/>
        </xdr:cNvSpPr>
      </xdr:nvSpPr>
      <xdr:spPr bwMode="auto">
        <a:xfrm>
          <a:off x="6324600" y="60293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DFF625F6-68EF-46D5-AF1D-2163756DE92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51</xdr:row>
      <xdr:rowOff>0</xdr:rowOff>
    </xdr:from>
    <xdr:to>
      <xdr:col>20</xdr:col>
      <xdr:colOff>0</xdr:colOff>
      <xdr:row>52</xdr:row>
      <xdr:rowOff>0</xdr:rowOff>
    </xdr:to>
    <xdr:sp macro="" textlink="AY52">
      <xdr:nvSpPr>
        <xdr:cNvPr id="24686" name="Text Box 763"/>
        <xdr:cNvSpPr txBox="1">
          <a:spLocks noChangeArrowheads="1"/>
        </xdr:cNvSpPr>
      </xdr:nvSpPr>
      <xdr:spPr bwMode="auto">
        <a:xfrm>
          <a:off x="6324600" y="61912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2A8A9CD7-C55F-4F24-9A8E-7C20EC8A241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52</xdr:row>
      <xdr:rowOff>0</xdr:rowOff>
    </xdr:from>
    <xdr:to>
      <xdr:col>20</xdr:col>
      <xdr:colOff>0</xdr:colOff>
      <xdr:row>53</xdr:row>
      <xdr:rowOff>0</xdr:rowOff>
    </xdr:to>
    <xdr:sp macro="" textlink="AY53">
      <xdr:nvSpPr>
        <xdr:cNvPr id="24687" name="Text Box 764"/>
        <xdr:cNvSpPr txBox="1">
          <a:spLocks noChangeArrowheads="1"/>
        </xdr:cNvSpPr>
      </xdr:nvSpPr>
      <xdr:spPr bwMode="auto">
        <a:xfrm>
          <a:off x="6324600" y="63531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BFA365D5-FB93-4F7C-8392-E260462FA3D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53</xdr:row>
      <xdr:rowOff>0</xdr:rowOff>
    </xdr:from>
    <xdr:to>
      <xdr:col>20</xdr:col>
      <xdr:colOff>0</xdr:colOff>
      <xdr:row>54</xdr:row>
      <xdr:rowOff>0</xdr:rowOff>
    </xdr:to>
    <xdr:sp macro="" textlink="AY54">
      <xdr:nvSpPr>
        <xdr:cNvPr id="24688" name="Text Box 765"/>
        <xdr:cNvSpPr txBox="1">
          <a:spLocks noChangeArrowheads="1"/>
        </xdr:cNvSpPr>
      </xdr:nvSpPr>
      <xdr:spPr bwMode="auto">
        <a:xfrm>
          <a:off x="6324600" y="65151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F487B8D-96CD-4790-86F6-1CC931B1478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54</xdr:row>
      <xdr:rowOff>0</xdr:rowOff>
    </xdr:from>
    <xdr:to>
      <xdr:col>20</xdr:col>
      <xdr:colOff>0</xdr:colOff>
      <xdr:row>55</xdr:row>
      <xdr:rowOff>0</xdr:rowOff>
    </xdr:to>
    <xdr:sp macro="" textlink="AY55">
      <xdr:nvSpPr>
        <xdr:cNvPr id="24689" name="Text Box 766"/>
        <xdr:cNvSpPr txBox="1">
          <a:spLocks noChangeArrowheads="1"/>
        </xdr:cNvSpPr>
      </xdr:nvSpPr>
      <xdr:spPr bwMode="auto">
        <a:xfrm>
          <a:off x="6324600" y="66770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C1F9F4B-0446-4A9B-ABC8-3EC0543F4CA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55</xdr:row>
      <xdr:rowOff>0</xdr:rowOff>
    </xdr:from>
    <xdr:to>
      <xdr:col>20</xdr:col>
      <xdr:colOff>0</xdr:colOff>
      <xdr:row>56</xdr:row>
      <xdr:rowOff>0</xdr:rowOff>
    </xdr:to>
    <xdr:sp macro="" textlink="AY56">
      <xdr:nvSpPr>
        <xdr:cNvPr id="24690" name="Text Box 767"/>
        <xdr:cNvSpPr txBox="1">
          <a:spLocks noChangeArrowheads="1"/>
        </xdr:cNvSpPr>
      </xdr:nvSpPr>
      <xdr:spPr bwMode="auto">
        <a:xfrm>
          <a:off x="6324600" y="68389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BE81D38-CE25-4C79-AB61-F22A6BB372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56</xdr:row>
      <xdr:rowOff>0</xdr:rowOff>
    </xdr:from>
    <xdr:to>
      <xdr:col>20</xdr:col>
      <xdr:colOff>0</xdr:colOff>
      <xdr:row>57</xdr:row>
      <xdr:rowOff>0</xdr:rowOff>
    </xdr:to>
    <xdr:sp macro="" textlink="AY57">
      <xdr:nvSpPr>
        <xdr:cNvPr id="24691" name="Text Box 768"/>
        <xdr:cNvSpPr txBox="1">
          <a:spLocks noChangeArrowheads="1"/>
        </xdr:cNvSpPr>
      </xdr:nvSpPr>
      <xdr:spPr bwMode="auto">
        <a:xfrm>
          <a:off x="6324600" y="70008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355DAC7-59CA-42B0-877D-64BD2CEFD3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57</xdr:row>
      <xdr:rowOff>0</xdr:rowOff>
    </xdr:from>
    <xdr:to>
      <xdr:col>20</xdr:col>
      <xdr:colOff>0</xdr:colOff>
      <xdr:row>58</xdr:row>
      <xdr:rowOff>0</xdr:rowOff>
    </xdr:to>
    <xdr:sp macro="" textlink="AY58">
      <xdr:nvSpPr>
        <xdr:cNvPr id="24692" name="Text Box 769"/>
        <xdr:cNvSpPr txBox="1">
          <a:spLocks noChangeArrowheads="1"/>
        </xdr:cNvSpPr>
      </xdr:nvSpPr>
      <xdr:spPr bwMode="auto">
        <a:xfrm>
          <a:off x="6324600" y="71628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E6D7F18-43AE-4F3D-93B9-3D2B734C393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58</xdr:row>
      <xdr:rowOff>0</xdr:rowOff>
    </xdr:from>
    <xdr:to>
      <xdr:col>20</xdr:col>
      <xdr:colOff>0</xdr:colOff>
      <xdr:row>59</xdr:row>
      <xdr:rowOff>0</xdr:rowOff>
    </xdr:to>
    <xdr:sp macro="" textlink="AY59">
      <xdr:nvSpPr>
        <xdr:cNvPr id="24693" name="Text Box 770"/>
        <xdr:cNvSpPr txBox="1">
          <a:spLocks noChangeArrowheads="1"/>
        </xdr:cNvSpPr>
      </xdr:nvSpPr>
      <xdr:spPr bwMode="auto">
        <a:xfrm>
          <a:off x="6324600" y="73247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EE0DE68-AFAD-4936-81F4-2A4CDAB3B8F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60</xdr:row>
      <xdr:rowOff>0</xdr:rowOff>
    </xdr:from>
    <xdr:to>
      <xdr:col>20</xdr:col>
      <xdr:colOff>0</xdr:colOff>
      <xdr:row>61</xdr:row>
      <xdr:rowOff>0</xdr:rowOff>
    </xdr:to>
    <xdr:sp macro="" textlink="AY61">
      <xdr:nvSpPr>
        <xdr:cNvPr id="24694" name="Text Box 771"/>
        <xdr:cNvSpPr txBox="1">
          <a:spLocks noChangeArrowheads="1"/>
        </xdr:cNvSpPr>
      </xdr:nvSpPr>
      <xdr:spPr bwMode="auto">
        <a:xfrm>
          <a:off x="6324600" y="76485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FD141C9-6A36-49E9-9782-24DEAAE0A9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59</xdr:row>
      <xdr:rowOff>0</xdr:rowOff>
    </xdr:from>
    <xdr:to>
      <xdr:col>20</xdr:col>
      <xdr:colOff>0</xdr:colOff>
      <xdr:row>60</xdr:row>
      <xdr:rowOff>0</xdr:rowOff>
    </xdr:to>
    <xdr:sp macro="" textlink="AY60">
      <xdr:nvSpPr>
        <xdr:cNvPr id="24695" name="Text Box 772"/>
        <xdr:cNvSpPr txBox="1">
          <a:spLocks noChangeArrowheads="1"/>
        </xdr:cNvSpPr>
      </xdr:nvSpPr>
      <xdr:spPr bwMode="auto">
        <a:xfrm>
          <a:off x="6324600" y="74866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E2579EC-B9A8-4568-8669-74FBB435D8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62</xdr:row>
      <xdr:rowOff>0</xdr:rowOff>
    </xdr:from>
    <xdr:to>
      <xdr:col>20</xdr:col>
      <xdr:colOff>0</xdr:colOff>
      <xdr:row>63</xdr:row>
      <xdr:rowOff>0</xdr:rowOff>
    </xdr:to>
    <xdr:sp macro="" textlink="AY63">
      <xdr:nvSpPr>
        <xdr:cNvPr id="24696" name="Text Box 773"/>
        <xdr:cNvSpPr txBox="1">
          <a:spLocks noChangeArrowheads="1"/>
        </xdr:cNvSpPr>
      </xdr:nvSpPr>
      <xdr:spPr bwMode="auto">
        <a:xfrm>
          <a:off x="6324600" y="79724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054BA41B-D6F2-45DA-90E4-818E9590CCB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61</xdr:row>
      <xdr:rowOff>0</xdr:rowOff>
    </xdr:from>
    <xdr:to>
      <xdr:col>20</xdr:col>
      <xdr:colOff>0</xdr:colOff>
      <xdr:row>62</xdr:row>
      <xdr:rowOff>0</xdr:rowOff>
    </xdr:to>
    <xdr:sp macro="" textlink="AY62">
      <xdr:nvSpPr>
        <xdr:cNvPr id="24697" name="Text Box 774"/>
        <xdr:cNvSpPr txBox="1">
          <a:spLocks noChangeArrowheads="1"/>
        </xdr:cNvSpPr>
      </xdr:nvSpPr>
      <xdr:spPr bwMode="auto">
        <a:xfrm>
          <a:off x="6324600" y="78105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C22E74B6-4790-4663-867A-FFB67092B13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64</xdr:row>
      <xdr:rowOff>0</xdr:rowOff>
    </xdr:from>
    <xdr:to>
      <xdr:col>20</xdr:col>
      <xdr:colOff>0</xdr:colOff>
      <xdr:row>65</xdr:row>
      <xdr:rowOff>0</xdr:rowOff>
    </xdr:to>
    <xdr:sp macro="" textlink="AY65">
      <xdr:nvSpPr>
        <xdr:cNvPr id="24698" name="Text Box 775"/>
        <xdr:cNvSpPr txBox="1">
          <a:spLocks noChangeArrowheads="1"/>
        </xdr:cNvSpPr>
      </xdr:nvSpPr>
      <xdr:spPr bwMode="auto">
        <a:xfrm>
          <a:off x="6324600" y="82962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46CB217B-365B-4D92-A391-CCC69DEA7C1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63</xdr:row>
      <xdr:rowOff>0</xdr:rowOff>
    </xdr:from>
    <xdr:to>
      <xdr:col>20</xdr:col>
      <xdr:colOff>0</xdr:colOff>
      <xdr:row>64</xdr:row>
      <xdr:rowOff>0</xdr:rowOff>
    </xdr:to>
    <xdr:sp macro="" textlink="AY64">
      <xdr:nvSpPr>
        <xdr:cNvPr id="24699" name="Text Box 776"/>
        <xdr:cNvSpPr txBox="1">
          <a:spLocks noChangeArrowheads="1"/>
        </xdr:cNvSpPr>
      </xdr:nvSpPr>
      <xdr:spPr bwMode="auto">
        <a:xfrm>
          <a:off x="6324600" y="81343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7FD6347A-194D-4EF3-9193-07B74754A7B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66</xdr:row>
      <xdr:rowOff>0</xdr:rowOff>
    </xdr:from>
    <xdr:to>
      <xdr:col>20</xdr:col>
      <xdr:colOff>0</xdr:colOff>
      <xdr:row>67</xdr:row>
      <xdr:rowOff>0</xdr:rowOff>
    </xdr:to>
    <xdr:sp macro="" textlink="AY67">
      <xdr:nvSpPr>
        <xdr:cNvPr id="24700" name="Text Box 777"/>
        <xdr:cNvSpPr txBox="1">
          <a:spLocks noChangeArrowheads="1"/>
        </xdr:cNvSpPr>
      </xdr:nvSpPr>
      <xdr:spPr bwMode="auto">
        <a:xfrm>
          <a:off x="6324600" y="86201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5B49A595-80F2-41E6-AFBE-5751B37D1D7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65</xdr:row>
      <xdr:rowOff>0</xdr:rowOff>
    </xdr:from>
    <xdr:to>
      <xdr:col>20</xdr:col>
      <xdr:colOff>0</xdr:colOff>
      <xdr:row>66</xdr:row>
      <xdr:rowOff>0</xdr:rowOff>
    </xdr:to>
    <xdr:sp macro="" textlink="AY66">
      <xdr:nvSpPr>
        <xdr:cNvPr id="24701" name="Text Box 778"/>
        <xdr:cNvSpPr txBox="1">
          <a:spLocks noChangeArrowheads="1"/>
        </xdr:cNvSpPr>
      </xdr:nvSpPr>
      <xdr:spPr bwMode="auto">
        <a:xfrm>
          <a:off x="6324600" y="84582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87801BBB-651B-4CB2-9019-BD0E0771821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68</xdr:row>
      <xdr:rowOff>0</xdr:rowOff>
    </xdr:from>
    <xdr:to>
      <xdr:col>20</xdr:col>
      <xdr:colOff>0</xdr:colOff>
      <xdr:row>69</xdr:row>
      <xdr:rowOff>0</xdr:rowOff>
    </xdr:to>
    <xdr:sp macro="" textlink="AY69">
      <xdr:nvSpPr>
        <xdr:cNvPr id="24702" name="Text Box 779"/>
        <xdr:cNvSpPr txBox="1">
          <a:spLocks noChangeArrowheads="1"/>
        </xdr:cNvSpPr>
      </xdr:nvSpPr>
      <xdr:spPr bwMode="auto">
        <a:xfrm>
          <a:off x="6324600" y="89439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A7E6400-0E03-4F5A-857C-FD3E84881E1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67</xdr:row>
      <xdr:rowOff>0</xdr:rowOff>
    </xdr:from>
    <xdr:to>
      <xdr:col>20</xdr:col>
      <xdr:colOff>0</xdr:colOff>
      <xdr:row>68</xdr:row>
      <xdr:rowOff>0</xdr:rowOff>
    </xdr:to>
    <xdr:sp macro="" textlink="AY68">
      <xdr:nvSpPr>
        <xdr:cNvPr id="24703" name="Text Box 780"/>
        <xdr:cNvSpPr txBox="1">
          <a:spLocks noChangeArrowheads="1"/>
        </xdr:cNvSpPr>
      </xdr:nvSpPr>
      <xdr:spPr bwMode="auto">
        <a:xfrm>
          <a:off x="6324600" y="878205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A3451908-A952-44E6-9B82-7A5503BF0E8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70</xdr:row>
      <xdr:rowOff>0</xdr:rowOff>
    </xdr:from>
    <xdr:to>
      <xdr:col>20</xdr:col>
      <xdr:colOff>0</xdr:colOff>
      <xdr:row>71</xdr:row>
      <xdr:rowOff>0</xdr:rowOff>
    </xdr:to>
    <xdr:sp macro="" textlink="AY71">
      <xdr:nvSpPr>
        <xdr:cNvPr id="24704" name="Text Box 781"/>
        <xdr:cNvSpPr txBox="1">
          <a:spLocks noChangeArrowheads="1"/>
        </xdr:cNvSpPr>
      </xdr:nvSpPr>
      <xdr:spPr bwMode="auto">
        <a:xfrm>
          <a:off x="6324600" y="926782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9E933974-4E67-41AE-8669-838CC278EB8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69</xdr:row>
      <xdr:rowOff>0</xdr:rowOff>
    </xdr:from>
    <xdr:to>
      <xdr:col>20</xdr:col>
      <xdr:colOff>0</xdr:colOff>
      <xdr:row>70</xdr:row>
      <xdr:rowOff>0</xdr:rowOff>
    </xdr:to>
    <xdr:sp macro="" textlink="AY70">
      <xdr:nvSpPr>
        <xdr:cNvPr id="24705" name="Text Box 782"/>
        <xdr:cNvSpPr txBox="1">
          <a:spLocks noChangeArrowheads="1"/>
        </xdr:cNvSpPr>
      </xdr:nvSpPr>
      <xdr:spPr bwMode="auto">
        <a:xfrm>
          <a:off x="6324600" y="9105900"/>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381D9EF5-5949-48B1-AD50-4D50D353CB9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111</xdr:row>
      <xdr:rowOff>9525</xdr:rowOff>
    </xdr:from>
    <xdr:to>
      <xdr:col>20</xdr:col>
      <xdr:colOff>0</xdr:colOff>
      <xdr:row>112</xdr:row>
      <xdr:rowOff>0</xdr:rowOff>
    </xdr:to>
    <xdr:sp macro="" textlink="AY112">
      <xdr:nvSpPr>
        <xdr:cNvPr id="24706" name="Text Box 783"/>
        <xdr:cNvSpPr txBox="1">
          <a:spLocks noChangeArrowheads="1"/>
        </xdr:cNvSpPr>
      </xdr:nvSpPr>
      <xdr:spPr bwMode="auto">
        <a:xfrm>
          <a:off x="6324600" y="9439275"/>
          <a:ext cx="3057525" cy="161925"/>
        </a:xfrm>
        <a:prstGeom prst="rect">
          <a:avLst/>
        </a:prstGeom>
        <a:noFill/>
        <a:ln w="9525" algn="ctr">
          <a:noFill/>
          <a:miter lim="800000"/>
          <a:headEnd/>
          <a:tailEnd/>
        </a:ln>
      </xdr:spPr>
      <xdr:txBody>
        <a:bodyPr vertOverflow="clip" wrap="square" lIns="72000" tIns="0" rIns="0" bIns="0" anchor="ctr" upright="1"/>
        <a:lstStyle/>
        <a:p>
          <a:pPr algn="l" rtl="0">
            <a:defRPr sz="1000"/>
          </a:pPr>
          <a:fld id="{D6BB2219-F26F-414D-861E-16CF0FBF2D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113</xdr:row>
      <xdr:rowOff>0</xdr:rowOff>
    </xdr:from>
    <xdr:to>
      <xdr:col>19</xdr:col>
      <xdr:colOff>0</xdr:colOff>
      <xdr:row>114</xdr:row>
      <xdr:rowOff>0</xdr:rowOff>
    </xdr:to>
    <xdr:sp macro="" textlink="">
      <xdr:nvSpPr>
        <xdr:cNvPr id="28934" name="Text Box 14484"/>
        <xdr:cNvSpPr txBox="1">
          <a:spLocks noChangeArrowheads="1"/>
        </xdr:cNvSpPr>
      </xdr:nvSpPr>
      <xdr:spPr bwMode="auto">
        <a:xfrm>
          <a:off x="114300" y="4838700"/>
          <a:ext cx="8534400" cy="762000"/>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xdr:from>
      <xdr:col>14</xdr:col>
      <xdr:colOff>0</xdr:colOff>
      <xdr:row>71</xdr:row>
      <xdr:rowOff>0</xdr:rowOff>
    </xdr:from>
    <xdr:to>
      <xdr:col>20</xdr:col>
      <xdr:colOff>0</xdr:colOff>
      <xdr:row>72</xdr:row>
      <xdr:rowOff>0</xdr:rowOff>
    </xdr:to>
    <xdr:sp macro="" textlink="AY72">
      <xdr:nvSpPr>
        <xdr:cNvPr id="6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75E849D-72FD-4F5E-A52E-99EE007CCE5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72</xdr:row>
      <xdr:rowOff>0</xdr:rowOff>
    </xdr:from>
    <xdr:to>
      <xdr:col>20</xdr:col>
      <xdr:colOff>0</xdr:colOff>
      <xdr:row>73</xdr:row>
      <xdr:rowOff>0</xdr:rowOff>
    </xdr:to>
    <xdr:sp macro="" textlink="AY73">
      <xdr:nvSpPr>
        <xdr:cNvPr id="6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D719131-3260-4039-AE79-732BB8456CC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73</xdr:row>
      <xdr:rowOff>0</xdr:rowOff>
    </xdr:from>
    <xdr:to>
      <xdr:col>20</xdr:col>
      <xdr:colOff>0</xdr:colOff>
      <xdr:row>74</xdr:row>
      <xdr:rowOff>0</xdr:rowOff>
    </xdr:to>
    <xdr:sp macro="" textlink="AY74">
      <xdr:nvSpPr>
        <xdr:cNvPr id="6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07D012F-DD88-432F-8827-6AAA782E8E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74</xdr:row>
      <xdr:rowOff>0</xdr:rowOff>
    </xdr:from>
    <xdr:to>
      <xdr:col>20</xdr:col>
      <xdr:colOff>0</xdr:colOff>
      <xdr:row>75</xdr:row>
      <xdr:rowOff>0</xdr:rowOff>
    </xdr:to>
    <xdr:sp macro="" textlink="AY75">
      <xdr:nvSpPr>
        <xdr:cNvPr id="6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9043CAA-A01F-4D56-BB79-80E836A978A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75</xdr:row>
      <xdr:rowOff>0</xdr:rowOff>
    </xdr:from>
    <xdr:to>
      <xdr:col>20</xdr:col>
      <xdr:colOff>0</xdr:colOff>
      <xdr:row>76</xdr:row>
      <xdr:rowOff>0</xdr:rowOff>
    </xdr:to>
    <xdr:sp macro="" textlink="AY76">
      <xdr:nvSpPr>
        <xdr:cNvPr id="6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DE3CAF7-D733-45A2-BB90-4D52FBF76BB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76</xdr:row>
      <xdr:rowOff>0</xdr:rowOff>
    </xdr:from>
    <xdr:to>
      <xdr:col>20</xdr:col>
      <xdr:colOff>0</xdr:colOff>
      <xdr:row>77</xdr:row>
      <xdr:rowOff>0</xdr:rowOff>
    </xdr:to>
    <xdr:sp macro="" textlink="AY77">
      <xdr:nvSpPr>
        <xdr:cNvPr id="6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58EFAF3-9C97-4956-A141-15B591E6F23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77</xdr:row>
      <xdr:rowOff>0</xdr:rowOff>
    </xdr:from>
    <xdr:to>
      <xdr:col>20</xdr:col>
      <xdr:colOff>0</xdr:colOff>
      <xdr:row>78</xdr:row>
      <xdr:rowOff>0</xdr:rowOff>
    </xdr:to>
    <xdr:sp macro="" textlink="AY78">
      <xdr:nvSpPr>
        <xdr:cNvPr id="6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3B5C85A-A736-4FDF-AAC0-BCCA86B969D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78</xdr:row>
      <xdr:rowOff>0</xdr:rowOff>
    </xdr:from>
    <xdr:to>
      <xdr:col>20</xdr:col>
      <xdr:colOff>0</xdr:colOff>
      <xdr:row>79</xdr:row>
      <xdr:rowOff>0</xdr:rowOff>
    </xdr:to>
    <xdr:sp macro="" textlink="AY79">
      <xdr:nvSpPr>
        <xdr:cNvPr id="6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DB73904-59D8-485F-B748-498901CEAC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79</xdr:row>
      <xdr:rowOff>0</xdr:rowOff>
    </xdr:from>
    <xdr:to>
      <xdr:col>20</xdr:col>
      <xdr:colOff>0</xdr:colOff>
      <xdr:row>80</xdr:row>
      <xdr:rowOff>0</xdr:rowOff>
    </xdr:to>
    <xdr:sp macro="" textlink="AY80">
      <xdr:nvSpPr>
        <xdr:cNvPr id="6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C1D7323-BDDE-48EB-887A-5B34EA30644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80</xdr:row>
      <xdr:rowOff>0</xdr:rowOff>
    </xdr:from>
    <xdr:to>
      <xdr:col>20</xdr:col>
      <xdr:colOff>0</xdr:colOff>
      <xdr:row>81</xdr:row>
      <xdr:rowOff>0</xdr:rowOff>
    </xdr:to>
    <xdr:sp macro="" textlink="AY81">
      <xdr:nvSpPr>
        <xdr:cNvPr id="6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5207B26-B31C-4B30-BEBA-82709872F90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81</xdr:row>
      <xdr:rowOff>0</xdr:rowOff>
    </xdr:from>
    <xdr:to>
      <xdr:col>20</xdr:col>
      <xdr:colOff>0</xdr:colOff>
      <xdr:row>82</xdr:row>
      <xdr:rowOff>0</xdr:rowOff>
    </xdr:to>
    <xdr:sp macro="" textlink="AY82">
      <xdr:nvSpPr>
        <xdr:cNvPr id="7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F0C1F3A-AF2B-44F0-AD10-EE6874A2755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82</xdr:row>
      <xdr:rowOff>0</xdr:rowOff>
    </xdr:from>
    <xdr:to>
      <xdr:col>20</xdr:col>
      <xdr:colOff>0</xdr:colOff>
      <xdr:row>83</xdr:row>
      <xdr:rowOff>0</xdr:rowOff>
    </xdr:to>
    <xdr:sp macro="" textlink="AY83">
      <xdr:nvSpPr>
        <xdr:cNvPr id="7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228A70CB-5AB1-470F-A72B-EF09850E5AF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83</xdr:row>
      <xdr:rowOff>0</xdr:rowOff>
    </xdr:from>
    <xdr:to>
      <xdr:col>20</xdr:col>
      <xdr:colOff>0</xdr:colOff>
      <xdr:row>84</xdr:row>
      <xdr:rowOff>0</xdr:rowOff>
    </xdr:to>
    <xdr:sp macro="" textlink="AY84">
      <xdr:nvSpPr>
        <xdr:cNvPr id="7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E6D2872B-88B3-4649-9ECB-3C352321AF2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84</xdr:row>
      <xdr:rowOff>0</xdr:rowOff>
    </xdr:from>
    <xdr:to>
      <xdr:col>20</xdr:col>
      <xdr:colOff>0</xdr:colOff>
      <xdr:row>85</xdr:row>
      <xdr:rowOff>0</xdr:rowOff>
    </xdr:to>
    <xdr:sp macro="" textlink="AY85">
      <xdr:nvSpPr>
        <xdr:cNvPr id="7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5532C88-22EF-46AE-8C4A-161E5A9508B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85</xdr:row>
      <xdr:rowOff>0</xdr:rowOff>
    </xdr:from>
    <xdr:to>
      <xdr:col>20</xdr:col>
      <xdr:colOff>0</xdr:colOff>
      <xdr:row>86</xdr:row>
      <xdr:rowOff>0</xdr:rowOff>
    </xdr:to>
    <xdr:sp macro="" textlink="AY86">
      <xdr:nvSpPr>
        <xdr:cNvPr id="7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248F1E8-D272-4679-96CC-A897FA7B5D4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86</xdr:row>
      <xdr:rowOff>0</xdr:rowOff>
    </xdr:from>
    <xdr:to>
      <xdr:col>20</xdr:col>
      <xdr:colOff>0</xdr:colOff>
      <xdr:row>87</xdr:row>
      <xdr:rowOff>0</xdr:rowOff>
    </xdr:to>
    <xdr:sp macro="" textlink="AY87">
      <xdr:nvSpPr>
        <xdr:cNvPr id="7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5C8C539-AEB1-4777-8D05-1A9219912A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87</xdr:row>
      <xdr:rowOff>0</xdr:rowOff>
    </xdr:from>
    <xdr:to>
      <xdr:col>20</xdr:col>
      <xdr:colOff>0</xdr:colOff>
      <xdr:row>88</xdr:row>
      <xdr:rowOff>0</xdr:rowOff>
    </xdr:to>
    <xdr:sp macro="" textlink="AY88">
      <xdr:nvSpPr>
        <xdr:cNvPr id="7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75A54B1-E551-4289-B64C-0EDA69BDF87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88</xdr:row>
      <xdr:rowOff>0</xdr:rowOff>
    </xdr:from>
    <xdr:to>
      <xdr:col>20</xdr:col>
      <xdr:colOff>0</xdr:colOff>
      <xdr:row>89</xdr:row>
      <xdr:rowOff>0</xdr:rowOff>
    </xdr:to>
    <xdr:sp macro="" textlink="AY89">
      <xdr:nvSpPr>
        <xdr:cNvPr id="7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FB34116-8C85-40F8-901D-80E50BB7086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89</xdr:row>
      <xdr:rowOff>0</xdr:rowOff>
    </xdr:from>
    <xdr:to>
      <xdr:col>20</xdr:col>
      <xdr:colOff>0</xdr:colOff>
      <xdr:row>90</xdr:row>
      <xdr:rowOff>0</xdr:rowOff>
    </xdr:to>
    <xdr:sp macro="" textlink="AY90">
      <xdr:nvSpPr>
        <xdr:cNvPr id="7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0F080A6-76D9-44B9-9918-768FF8B935D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90</xdr:row>
      <xdr:rowOff>0</xdr:rowOff>
    </xdr:from>
    <xdr:to>
      <xdr:col>20</xdr:col>
      <xdr:colOff>0</xdr:colOff>
      <xdr:row>91</xdr:row>
      <xdr:rowOff>0</xdr:rowOff>
    </xdr:to>
    <xdr:sp macro="" textlink="AY91">
      <xdr:nvSpPr>
        <xdr:cNvPr id="7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F89413A6-EBF8-400E-B04E-D9D75FFC060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91</xdr:row>
      <xdr:rowOff>0</xdr:rowOff>
    </xdr:from>
    <xdr:to>
      <xdr:col>20</xdr:col>
      <xdr:colOff>0</xdr:colOff>
      <xdr:row>92</xdr:row>
      <xdr:rowOff>0</xdr:rowOff>
    </xdr:to>
    <xdr:sp macro="" textlink="AY92">
      <xdr:nvSpPr>
        <xdr:cNvPr id="8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922B2C2A-12AD-4255-832B-DEFB8C65917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92</xdr:row>
      <xdr:rowOff>0</xdr:rowOff>
    </xdr:from>
    <xdr:to>
      <xdr:col>20</xdr:col>
      <xdr:colOff>0</xdr:colOff>
      <xdr:row>93</xdr:row>
      <xdr:rowOff>0</xdr:rowOff>
    </xdr:to>
    <xdr:sp macro="" textlink="AY93">
      <xdr:nvSpPr>
        <xdr:cNvPr id="8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290E365-6F37-4F2F-9694-26965FDE763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93</xdr:row>
      <xdr:rowOff>0</xdr:rowOff>
    </xdr:from>
    <xdr:to>
      <xdr:col>20</xdr:col>
      <xdr:colOff>0</xdr:colOff>
      <xdr:row>94</xdr:row>
      <xdr:rowOff>0</xdr:rowOff>
    </xdr:to>
    <xdr:sp macro="" textlink="AY94">
      <xdr:nvSpPr>
        <xdr:cNvPr id="8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C7E9FA61-AAF3-444B-8A67-ACF406C949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94</xdr:row>
      <xdr:rowOff>0</xdr:rowOff>
    </xdr:from>
    <xdr:to>
      <xdr:col>20</xdr:col>
      <xdr:colOff>0</xdr:colOff>
      <xdr:row>95</xdr:row>
      <xdr:rowOff>0</xdr:rowOff>
    </xdr:to>
    <xdr:sp macro="" textlink="AY95">
      <xdr:nvSpPr>
        <xdr:cNvPr id="8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BC8FB57A-6A16-460B-8EED-9CBFB989457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95</xdr:row>
      <xdr:rowOff>0</xdr:rowOff>
    </xdr:from>
    <xdr:to>
      <xdr:col>20</xdr:col>
      <xdr:colOff>0</xdr:colOff>
      <xdr:row>96</xdr:row>
      <xdr:rowOff>0</xdr:rowOff>
    </xdr:to>
    <xdr:sp macro="" textlink="AY96">
      <xdr:nvSpPr>
        <xdr:cNvPr id="8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56DA264F-B69B-4E13-996D-58F93D0F88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96</xdr:row>
      <xdr:rowOff>0</xdr:rowOff>
    </xdr:from>
    <xdr:to>
      <xdr:col>20</xdr:col>
      <xdr:colOff>0</xdr:colOff>
      <xdr:row>97</xdr:row>
      <xdr:rowOff>0</xdr:rowOff>
    </xdr:to>
    <xdr:sp macro="" textlink="AY97">
      <xdr:nvSpPr>
        <xdr:cNvPr id="8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A3923837-D747-4518-86E9-B1A51380815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97</xdr:row>
      <xdr:rowOff>0</xdr:rowOff>
    </xdr:from>
    <xdr:to>
      <xdr:col>20</xdr:col>
      <xdr:colOff>0</xdr:colOff>
      <xdr:row>98</xdr:row>
      <xdr:rowOff>0</xdr:rowOff>
    </xdr:to>
    <xdr:sp macro="" textlink="AY98">
      <xdr:nvSpPr>
        <xdr:cNvPr id="8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BEBFD9E-FB86-409C-A102-A4E4254C367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98</xdr:row>
      <xdr:rowOff>0</xdr:rowOff>
    </xdr:from>
    <xdr:to>
      <xdr:col>20</xdr:col>
      <xdr:colOff>0</xdr:colOff>
      <xdr:row>99</xdr:row>
      <xdr:rowOff>0</xdr:rowOff>
    </xdr:to>
    <xdr:sp macro="" textlink="AY99">
      <xdr:nvSpPr>
        <xdr:cNvPr id="8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40F39EEF-8822-4387-89DB-2A693A1583A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99</xdr:row>
      <xdr:rowOff>0</xdr:rowOff>
    </xdr:from>
    <xdr:to>
      <xdr:col>20</xdr:col>
      <xdr:colOff>0</xdr:colOff>
      <xdr:row>100</xdr:row>
      <xdr:rowOff>0</xdr:rowOff>
    </xdr:to>
    <xdr:sp macro="" textlink="AY100">
      <xdr:nvSpPr>
        <xdr:cNvPr id="8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D30993B-CAF5-4E41-8EC7-F2D6817E75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100</xdr:row>
      <xdr:rowOff>0</xdr:rowOff>
    </xdr:from>
    <xdr:to>
      <xdr:col>20</xdr:col>
      <xdr:colOff>0</xdr:colOff>
      <xdr:row>101</xdr:row>
      <xdr:rowOff>0</xdr:rowOff>
    </xdr:to>
    <xdr:sp macro="" textlink="AY101">
      <xdr:nvSpPr>
        <xdr:cNvPr id="8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FBECB53-ABD1-48A4-9387-18DE5871F4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101</xdr:row>
      <xdr:rowOff>0</xdr:rowOff>
    </xdr:from>
    <xdr:to>
      <xdr:col>20</xdr:col>
      <xdr:colOff>0</xdr:colOff>
      <xdr:row>102</xdr:row>
      <xdr:rowOff>0</xdr:rowOff>
    </xdr:to>
    <xdr:sp macro="" textlink="AY102">
      <xdr:nvSpPr>
        <xdr:cNvPr id="90"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0BE3867-D327-4E46-A9FC-7D15956C7D7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102</xdr:row>
      <xdr:rowOff>0</xdr:rowOff>
    </xdr:from>
    <xdr:to>
      <xdr:col>20</xdr:col>
      <xdr:colOff>0</xdr:colOff>
      <xdr:row>103</xdr:row>
      <xdr:rowOff>0</xdr:rowOff>
    </xdr:to>
    <xdr:sp macro="" textlink="AY103">
      <xdr:nvSpPr>
        <xdr:cNvPr id="91"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DF056A05-16E1-471E-83F6-828A1AB7E2F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103</xdr:row>
      <xdr:rowOff>0</xdr:rowOff>
    </xdr:from>
    <xdr:to>
      <xdr:col>20</xdr:col>
      <xdr:colOff>0</xdr:colOff>
      <xdr:row>104</xdr:row>
      <xdr:rowOff>0</xdr:rowOff>
    </xdr:to>
    <xdr:sp macro="" textlink="AY104">
      <xdr:nvSpPr>
        <xdr:cNvPr id="92"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15A60906-D043-47D3-9C33-71B30BDD8BD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104</xdr:row>
      <xdr:rowOff>0</xdr:rowOff>
    </xdr:from>
    <xdr:to>
      <xdr:col>20</xdr:col>
      <xdr:colOff>0</xdr:colOff>
      <xdr:row>105</xdr:row>
      <xdr:rowOff>0</xdr:rowOff>
    </xdr:to>
    <xdr:sp macro="" textlink="AY105">
      <xdr:nvSpPr>
        <xdr:cNvPr id="93"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21B5D97B-C2CB-46C0-B1D0-F2856B991DF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105</xdr:row>
      <xdr:rowOff>0</xdr:rowOff>
    </xdr:from>
    <xdr:to>
      <xdr:col>20</xdr:col>
      <xdr:colOff>0</xdr:colOff>
      <xdr:row>106</xdr:row>
      <xdr:rowOff>0</xdr:rowOff>
    </xdr:to>
    <xdr:sp macro="" textlink="AY106">
      <xdr:nvSpPr>
        <xdr:cNvPr id="94"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968B3B9-64A6-46A4-B56B-32B2E5778FC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106</xdr:row>
      <xdr:rowOff>0</xdr:rowOff>
    </xdr:from>
    <xdr:to>
      <xdr:col>20</xdr:col>
      <xdr:colOff>0</xdr:colOff>
      <xdr:row>107</xdr:row>
      <xdr:rowOff>0</xdr:rowOff>
    </xdr:to>
    <xdr:sp macro="" textlink="AY107">
      <xdr:nvSpPr>
        <xdr:cNvPr id="95"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8CAB6A7D-DFA8-4EE7-875F-21ACCA80EFF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107</xdr:row>
      <xdr:rowOff>0</xdr:rowOff>
    </xdr:from>
    <xdr:to>
      <xdr:col>20</xdr:col>
      <xdr:colOff>0</xdr:colOff>
      <xdr:row>108</xdr:row>
      <xdr:rowOff>0</xdr:rowOff>
    </xdr:to>
    <xdr:sp macro="" textlink="AY108">
      <xdr:nvSpPr>
        <xdr:cNvPr id="96"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69A29240-6E93-4FD0-8B57-068B0D75F54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108</xdr:row>
      <xdr:rowOff>0</xdr:rowOff>
    </xdr:from>
    <xdr:to>
      <xdr:col>20</xdr:col>
      <xdr:colOff>0</xdr:colOff>
      <xdr:row>109</xdr:row>
      <xdr:rowOff>0</xdr:rowOff>
    </xdr:to>
    <xdr:sp macro="" textlink="AY109">
      <xdr:nvSpPr>
        <xdr:cNvPr id="97"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7244FCA6-08C6-40FC-8830-DA97EC6E8D7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109</xdr:row>
      <xdr:rowOff>0</xdr:rowOff>
    </xdr:from>
    <xdr:to>
      <xdr:col>20</xdr:col>
      <xdr:colOff>0</xdr:colOff>
      <xdr:row>110</xdr:row>
      <xdr:rowOff>0</xdr:rowOff>
    </xdr:to>
    <xdr:sp macro="" textlink="AY110">
      <xdr:nvSpPr>
        <xdr:cNvPr id="98"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3A69CD8D-704A-4F4C-BB90-A3CFB57E368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14</xdr:col>
      <xdr:colOff>0</xdr:colOff>
      <xdr:row>110</xdr:row>
      <xdr:rowOff>0</xdr:rowOff>
    </xdr:from>
    <xdr:to>
      <xdr:col>20</xdr:col>
      <xdr:colOff>0</xdr:colOff>
      <xdr:row>111</xdr:row>
      <xdr:rowOff>0</xdr:rowOff>
    </xdr:to>
    <xdr:sp macro="" textlink="AY111">
      <xdr:nvSpPr>
        <xdr:cNvPr id="99" name="Text Box 781"/>
        <xdr:cNvSpPr txBox="1">
          <a:spLocks noChangeArrowheads="1"/>
        </xdr:cNvSpPr>
      </xdr:nvSpPr>
      <xdr:spPr bwMode="auto">
        <a:xfrm>
          <a:off x="6583680" y="11803380"/>
          <a:ext cx="3025140" cy="160020"/>
        </a:xfrm>
        <a:prstGeom prst="rect">
          <a:avLst/>
        </a:prstGeom>
        <a:noFill/>
        <a:ln w="9525" algn="ctr">
          <a:noFill/>
          <a:miter lim="800000"/>
          <a:headEnd/>
          <a:tailEnd/>
        </a:ln>
      </xdr:spPr>
      <xdr:txBody>
        <a:bodyPr vertOverflow="clip" wrap="square" lIns="72000" tIns="0" rIns="0" bIns="0" anchor="ctr" upright="1"/>
        <a:lstStyle/>
        <a:p>
          <a:pPr algn="l" rtl="0">
            <a:defRPr sz="1000"/>
          </a:pPr>
          <a:fld id="{04DED0FF-6905-4CCA-ADDA-2C5AFA47477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104"/>
  <sheetViews>
    <sheetView showGridLines="0" showRowColHeaders="0" showOutlineSymbols="0" topLeftCell="A8" zoomScaleNormal="100" workbookViewId="0">
      <selection activeCell="F55" sqref="F55"/>
    </sheetView>
  </sheetViews>
  <sheetFormatPr defaultRowHeight="12.75" outlineLevelRow="1" x14ac:dyDescent="0.2"/>
  <cols>
    <col min="1" max="1" width="1.7109375" customWidth="1"/>
    <col min="2" max="2" width="1.7109375" hidden="1" customWidth="1"/>
    <col min="3" max="3" width="1.7109375" customWidth="1"/>
    <col min="4" max="4" width="3.85546875" customWidth="1"/>
    <col min="5" max="5" width="0.85546875" customWidth="1"/>
    <col min="6" max="6" width="80.85546875" customWidth="1"/>
    <col min="7" max="7" width="5.5703125" customWidth="1"/>
    <col min="9" max="9" width="80.85546875" customWidth="1"/>
  </cols>
  <sheetData>
    <row r="1" spans="1:36" hidden="1" outlineLevel="1" x14ac:dyDescent="0.2">
      <c r="D1" s="1" t="s">
        <v>110</v>
      </c>
      <c r="E1" s="1"/>
    </row>
    <row r="2" spans="1:36" hidden="1" outlineLevel="1" x14ac:dyDescent="0.2">
      <c r="D2" s="2" t="s">
        <v>111</v>
      </c>
      <c r="E2" s="2"/>
    </row>
    <row r="3" spans="1:36" hidden="1" outlineLevel="1" x14ac:dyDescent="0.2">
      <c r="D3" s="2" t="s">
        <v>112</v>
      </c>
      <c r="E3" s="2"/>
    </row>
    <row r="4" spans="1:36" hidden="1" outlineLevel="1" x14ac:dyDescent="0.2">
      <c r="D4" s="2" t="s">
        <v>113</v>
      </c>
      <c r="E4" s="2"/>
    </row>
    <row r="5" spans="1:36" collapsed="1" x14ac:dyDescent="0.2">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row>
    <row r="6" spans="1:36" x14ac:dyDescent="0.2">
      <c r="A6" s="10"/>
      <c r="B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1:36" ht="15.75" x14ac:dyDescent="0.25">
      <c r="A7" s="10"/>
      <c r="B7" s="10"/>
      <c r="E7" s="352"/>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row>
    <row r="8" spans="1:36" x14ac:dyDescent="0.2">
      <c r="A8" s="10"/>
      <c r="B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row>
    <row r="9" spans="1:36" ht="15.75" x14ac:dyDescent="0.25">
      <c r="A9" s="10"/>
      <c r="B9" s="10"/>
      <c r="D9" s="116" t="s">
        <v>118</v>
      </c>
      <c r="E9" s="116"/>
      <c r="F9" s="117"/>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row>
    <row r="10" spans="1:36" x14ac:dyDescent="0.2">
      <c r="A10" s="10"/>
      <c r="B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row>
    <row r="11" spans="1:36" x14ac:dyDescent="0.2">
      <c r="A11" s="10"/>
      <c r="B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row>
    <row r="12" spans="1:36" x14ac:dyDescent="0.2">
      <c r="A12" s="10"/>
      <c r="B12" s="10"/>
      <c r="E12" s="4" t="s">
        <v>406</v>
      </c>
      <c r="F12" s="484"/>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row>
    <row r="13" spans="1:36" ht="25.5" x14ac:dyDescent="0.2">
      <c r="A13" s="10"/>
      <c r="B13" s="10"/>
      <c r="D13" s="115">
        <f>IF(AND(ISBLANK(E13),ISBLANK(F13)=FALSE),MAX(D$12:D12)+1,"")</f>
        <v>1</v>
      </c>
      <c r="E13" s="485"/>
      <c r="F13" s="611" t="s">
        <v>408</v>
      </c>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row>
    <row r="14" spans="1:36" ht="25.5" x14ac:dyDescent="0.2">
      <c r="A14" s="10"/>
      <c r="B14" s="10"/>
      <c r="D14" s="115">
        <f>IF(AND(ISBLANK(E14),ISBLANK(F14)=FALSE),MAX(D$12:D13)+1,"")</f>
        <v>2</v>
      </c>
      <c r="E14" s="485"/>
      <c r="F14" s="486" t="s">
        <v>303</v>
      </c>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row>
    <row r="15" spans="1:36" ht="25.5" x14ac:dyDescent="0.2">
      <c r="A15" s="10"/>
      <c r="B15" s="10"/>
      <c r="D15" s="115">
        <f>IF(AND(ISBLANK(E15),ISBLANK(F15)=FALSE),MAX(D$12:D14)+1,"")</f>
        <v>3</v>
      </c>
      <c r="E15" s="485"/>
      <c r="F15" s="486" t="s">
        <v>304</v>
      </c>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row>
    <row r="16" spans="1:36" x14ac:dyDescent="0.2">
      <c r="A16" s="10"/>
      <c r="B16" s="10"/>
      <c r="D16" s="115" t="str">
        <f>IF(AND(ISBLANK(E16),ISBLANK(F16)=FALSE),MAX(D$12:D15)+1,"")</f>
        <v/>
      </c>
      <c r="E16" s="485"/>
      <c r="F16" s="484"/>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row>
    <row r="17" spans="1:36" x14ac:dyDescent="0.2">
      <c r="A17" s="10"/>
      <c r="B17" s="10"/>
      <c r="D17" s="115" t="str">
        <f>IF(AND(ISBLANK(E17),ISBLANK(F17)=FALSE),MAX(D$12:D16)+1,"")</f>
        <v/>
      </c>
      <c r="E17" s="4" t="s">
        <v>117</v>
      </c>
      <c r="F17" s="484"/>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row>
    <row r="18" spans="1:36" ht="38.25" x14ac:dyDescent="0.2">
      <c r="A18" s="10"/>
      <c r="B18" s="10"/>
      <c r="D18" s="115">
        <f>IF(AND(ISBLANK(E18),ISBLANK(F18)=FALSE),MAX(D$12:D17)+1,"")</f>
        <v>4</v>
      </c>
      <c r="E18" s="485"/>
      <c r="F18" s="486" t="s">
        <v>399</v>
      </c>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row>
    <row r="19" spans="1:36" ht="38.25" x14ac:dyDescent="0.2">
      <c r="A19" s="10"/>
      <c r="B19" s="10"/>
      <c r="D19" s="115">
        <f>IF(AND(ISBLANK(E19),ISBLANK(F19)=FALSE),MAX(D$12:D18)+1,"")</f>
        <v>5</v>
      </c>
      <c r="E19" s="485"/>
      <c r="F19" s="571" t="s">
        <v>387</v>
      </c>
      <c r="G19" s="535"/>
      <c r="H19" s="536"/>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row>
    <row r="20" spans="1:36" x14ac:dyDescent="0.2">
      <c r="A20" s="10"/>
      <c r="B20" s="10"/>
      <c r="D20" s="115" t="str">
        <f>IF(AND(ISBLANK(E20),ISBLANK(F20)=FALSE),MAX(D$12:D19)+1,"")</f>
        <v/>
      </c>
      <c r="E20" s="487"/>
      <c r="F20" s="48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row>
    <row r="21" spans="1:36" x14ac:dyDescent="0.2">
      <c r="A21" s="10"/>
      <c r="B21" s="10"/>
      <c r="D21" s="115" t="str">
        <f>IF(AND(ISBLANK(E21),ISBLANK(F21)=FALSE),MAX(D$12:D20)+1,"")</f>
        <v/>
      </c>
      <c r="E21" s="4" t="s">
        <v>302</v>
      </c>
      <c r="F21" s="484"/>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row>
    <row r="22" spans="1:36" ht="25.5" x14ac:dyDescent="0.2">
      <c r="A22" s="10"/>
      <c r="B22" s="10"/>
      <c r="D22" s="115">
        <f>IF(AND(ISBLANK(E22),ISBLANK(F22)=FALSE),MAX(D$12:D21)+1,"")</f>
        <v>6</v>
      </c>
      <c r="E22" s="485"/>
      <c r="F22" s="486" t="s">
        <v>295</v>
      </c>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row>
    <row r="23" spans="1:36" ht="38.25" x14ac:dyDescent="0.2">
      <c r="A23" s="10"/>
      <c r="B23" s="10"/>
      <c r="D23" s="115">
        <f>IF(AND(ISBLANK(E23),ISBLANK(F23)=FALSE),MAX(D$12:D22)+1,"")</f>
        <v>7</v>
      </c>
      <c r="E23" s="485"/>
      <c r="F23" s="486" t="s">
        <v>388</v>
      </c>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row>
    <row r="24" spans="1:36" ht="76.5" x14ac:dyDescent="0.2">
      <c r="A24" s="10"/>
      <c r="B24" s="10"/>
      <c r="D24" s="115">
        <f>IF(AND(ISBLANK(E24),ISBLANK(F24)=FALSE),MAX(D$12:D23)+1,"")</f>
        <v>8</v>
      </c>
      <c r="E24" s="487"/>
      <c r="F24" s="486" t="s">
        <v>390</v>
      </c>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row>
    <row r="25" spans="1:36" ht="38.25" x14ac:dyDescent="0.2">
      <c r="A25" s="10"/>
      <c r="B25" s="10"/>
      <c r="D25" s="115">
        <f>IF(AND(ISBLANK(E25),ISBLANK(F25)=FALSE),MAX(D$12:D24)+1,"")</f>
        <v>9</v>
      </c>
      <c r="E25" s="487"/>
      <c r="F25" s="486" t="s">
        <v>367</v>
      </c>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row>
    <row r="26" spans="1:36" x14ac:dyDescent="0.2">
      <c r="A26" s="10"/>
      <c r="B26" s="10"/>
      <c r="D26" s="115" t="str">
        <f>IF(AND(ISBLANK(E26),ISBLANK(F26)=FALSE),MAX(D$12:D25)+1,"")</f>
        <v/>
      </c>
      <c r="E26" s="487"/>
      <c r="F26" s="486"/>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row>
    <row r="27" spans="1:36" x14ac:dyDescent="0.2">
      <c r="A27" s="10"/>
      <c r="B27" s="10"/>
      <c r="D27" s="115" t="str">
        <f>IF(AND(ISBLANK(E27),ISBLANK(F27)=FALSE),MAX(D$12:D26)+1,"")</f>
        <v/>
      </c>
      <c r="E27" s="4" t="s">
        <v>114</v>
      </c>
      <c r="F27" s="486"/>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row>
    <row r="28" spans="1:36" ht="25.5" x14ac:dyDescent="0.2">
      <c r="A28" s="10"/>
      <c r="B28" s="10"/>
      <c r="D28" s="115">
        <f>IF(AND(ISBLANK(E28),ISBLANK(F28)=FALSE),MAX(D$12:D27)+1,"")</f>
        <v>10</v>
      </c>
      <c r="E28" s="485"/>
      <c r="F28" s="486" t="s">
        <v>134</v>
      </c>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row>
    <row r="29" spans="1:36" ht="51" x14ac:dyDescent="0.2">
      <c r="A29" s="10"/>
      <c r="B29" s="10"/>
      <c r="D29" s="115">
        <f>IF(AND(ISBLANK(E29),ISBLANK(F29)=FALSE),MAX(D$12:D28)+1,"")</f>
        <v>11</v>
      </c>
      <c r="E29" s="485"/>
      <c r="F29" s="486" t="s">
        <v>383</v>
      </c>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row>
    <row r="30" spans="1:36" ht="38.25" x14ac:dyDescent="0.2">
      <c r="A30" s="10"/>
      <c r="B30" s="10"/>
      <c r="D30" s="115">
        <f>IF(AND(ISBLANK(E30),ISBLANK(F30)=FALSE),MAX(D$12:D29)+1,"")</f>
        <v>12</v>
      </c>
      <c r="E30" s="485"/>
      <c r="F30" s="486" t="s">
        <v>290</v>
      </c>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row>
    <row r="31" spans="1:36" ht="25.5" x14ac:dyDescent="0.2">
      <c r="A31" s="10"/>
      <c r="B31" s="10"/>
      <c r="D31" s="115">
        <f>IF(AND(ISBLANK(E31),ISBLANK(F31)=FALSE),MAX(D$12:D30)+1,"")</f>
        <v>13</v>
      </c>
      <c r="E31" s="485"/>
      <c r="F31" s="486" t="s">
        <v>369</v>
      </c>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row>
    <row r="32" spans="1:36" ht="25.5" x14ac:dyDescent="0.2">
      <c r="A32" s="10"/>
      <c r="B32" s="10"/>
      <c r="D32" s="115">
        <f>IF(AND(ISBLANK(E32),ISBLANK(F32)=FALSE),MAX(D$12:D31)+1,"")</f>
        <v>14</v>
      </c>
      <c r="E32" s="485"/>
      <c r="F32" s="486" t="s">
        <v>291</v>
      </c>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36" ht="25.5" x14ac:dyDescent="0.2">
      <c r="A33" s="10"/>
      <c r="B33" s="10"/>
      <c r="D33" s="115">
        <f>IF(AND(ISBLANK(E33),ISBLANK(F33)=FALSE),MAX(D$12:D32)+1,"")</f>
        <v>15</v>
      </c>
      <c r="E33" s="485"/>
      <c r="F33" s="486" t="s">
        <v>382</v>
      </c>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row>
    <row r="34" spans="1:36" ht="25.5" x14ac:dyDescent="0.2">
      <c r="A34" s="10"/>
      <c r="B34" s="10"/>
      <c r="D34" s="115">
        <f>IF(AND(ISBLANK(E34),ISBLANK(F34)=FALSE),MAX(D$12:D33)+1,"")</f>
        <v>16</v>
      </c>
      <c r="E34" s="485"/>
      <c r="F34" s="571" t="s">
        <v>381</v>
      </c>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row>
    <row r="35" spans="1:36" ht="25.5" x14ac:dyDescent="0.2">
      <c r="A35" s="10"/>
      <c r="B35" s="10"/>
      <c r="D35" s="115">
        <f>IF(AND(ISBLANK(E35),ISBLANK(F35)=FALSE),MAX(D$12:D34)+1,"")</f>
        <v>17</v>
      </c>
      <c r="E35" s="485"/>
      <c r="F35" s="486" t="s">
        <v>133</v>
      </c>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row>
    <row r="36" spans="1:36" x14ac:dyDescent="0.2">
      <c r="A36" s="10"/>
      <c r="B36" s="10"/>
      <c r="D36" s="115" t="str">
        <f>IF(AND(ISBLANK(E36),ISBLANK(F36)=FALSE),MAX(D$12:D35)+1,"")</f>
        <v/>
      </c>
      <c r="E36" s="487"/>
      <c r="F36" s="486"/>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row>
    <row r="37" spans="1:36" x14ac:dyDescent="0.2">
      <c r="A37" s="10"/>
      <c r="B37" s="10"/>
      <c r="D37" s="115" t="str">
        <f>IF(AND(ISBLANK(E37),ISBLANK(F37)=FALSE),MAX(D$12:D36)+1,"")</f>
        <v/>
      </c>
      <c r="E37" s="4" t="s">
        <v>294</v>
      </c>
      <c r="F37" s="486"/>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row>
    <row r="38" spans="1:36" ht="25.5" x14ac:dyDescent="0.2">
      <c r="A38" s="10"/>
      <c r="B38" s="10"/>
      <c r="D38" s="115">
        <f>IF(AND(ISBLANK(E38),ISBLANK(F38)=FALSE),MAX(D$12:D37)+1,"")</f>
        <v>18</v>
      </c>
      <c r="E38" s="485"/>
      <c r="F38" s="486" t="s">
        <v>115</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row>
    <row r="39" spans="1:36" ht="25.5" x14ac:dyDescent="0.2">
      <c r="A39" s="10"/>
      <c r="B39" s="10"/>
      <c r="D39" s="115">
        <f>IF(AND(ISBLANK(E39),ISBLANK(F39)=FALSE),MAX(D$12:D38)+1,"")</f>
        <v>19</v>
      </c>
      <c r="E39" s="485"/>
      <c r="F39" s="488" t="s">
        <v>368</v>
      </c>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row>
    <row r="40" spans="1:36" ht="25.5" x14ac:dyDescent="0.2">
      <c r="A40" s="10"/>
      <c r="B40" s="10"/>
      <c r="D40" s="115">
        <f>IF(AND(ISBLANK(E40),ISBLANK(F40)=FALSE),MAX(D$12:D39)+1,"")</f>
        <v>20</v>
      </c>
      <c r="E40" s="485"/>
      <c r="F40" s="486" t="s">
        <v>370</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row>
    <row r="41" spans="1:36" ht="25.5" x14ac:dyDescent="0.2">
      <c r="A41" s="10"/>
      <c r="B41" s="10"/>
      <c r="D41" s="115">
        <f>IF(AND(ISBLANK(E41),ISBLANK(F41)=FALSE),MAX(D$12:D40)+1,"")</f>
        <v>21</v>
      </c>
      <c r="E41" s="485"/>
      <c r="F41" s="486" t="s">
        <v>384</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row>
    <row r="42" spans="1:36" ht="38.25" x14ac:dyDescent="0.2">
      <c r="A42" s="10"/>
      <c r="B42" s="10"/>
      <c r="D42" s="115">
        <f>IF(AND(ISBLANK(E42),ISBLANK(F42)=FALSE),MAX(D$12:D41)+1,"")</f>
        <v>22</v>
      </c>
      <c r="E42" s="485"/>
      <c r="F42" s="486" t="s">
        <v>292</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row>
    <row r="43" spans="1:36" ht="38.25" x14ac:dyDescent="0.2">
      <c r="A43" s="10"/>
      <c r="B43" s="10"/>
      <c r="D43" s="115">
        <f>IF(AND(ISBLANK(E43),ISBLANK(F43)=FALSE),MAX(D$12:D42)+1,"")</f>
        <v>23</v>
      </c>
      <c r="E43" s="485"/>
      <c r="F43" s="489" t="s">
        <v>389</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row>
    <row r="44" spans="1:36" x14ac:dyDescent="0.2">
      <c r="A44" s="10"/>
      <c r="B44" s="10"/>
      <c r="D44" s="115" t="str">
        <f>IF(AND(ISBLANK(E44),ISBLANK(F44)=FALSE),MAX(D$12:D43)+1,"")</f>
        <v/>
      </c>
      <c r="E44" s="487"/>
      <c r="F44" s="486"/>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row>
    <row r="45" spans="1:36" x14ac:dyDescent="0.2">
      <c r="A45" s="10"/>
      <c r="B45" s="10"/>
      <c r="D45" s="115" t="str">
        <f>IF(AND(ISBLANK(E45),ISBLANK(F45)=FALSE),MAX(D$12:D44)+1,"")</f>
        <v/>
      </c>
      <c r="E45" s="4" t="s">
        <v>116</v>
      </c>
      <c r="F45" s="486"/>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row>
    <row r="46" spans="1:36" x14ac:dyDescent="0.2">
      <c r="A46" s="10"/>
      <c r="B46" s="10"/>
      <c r="D46" s="115">
        <f>IF(AND(ISBLANK(E46),ISBLANK(F46)=FALSE),MAX(D$12:D45)+1,"")</f>
        <v>24</v>
      </c>
      <c r="E46" s="485"/>
      <c r="F46" s="486" t="s">
        <v>386</v>
      </c>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row>
    <row r="47" spans="1:36" ht="38.25" x14ac:dyDescent="0.2">
      <c r="A47" s="10"/>
      <c r="B47" s="10"/>
      <c r="D47" s="115">
        <f>IF(AND(ISBLANK(E47),ISBLANK(F47)=FALSE),MAX(D$12:D46)+1,"")</f>
        <v>25</v>
      </c>
      <c r="E47" s="485"/>
      <c r="F47" s="486" t="s">
        <v>391</v>
      </c>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row>
    <row r="48" spans="1:36" ht="38.25" x14ac:dyDescent="0.2">
      <c r="A48" s="10"/>
      <c r="B48" s="10"/>
      <c r="D48" s="115">
        <f>IF(AND(ISBLANK(E48),ISBLANK(F48)=FALSE),MAX(D$12:D47)+1,"")</f>
        <v>26</v>
      </c>
      <c r="E48" s="485"/>
      <c r="F48" s="488" t="s">
        <v>385</v>
      </c>
      <c r="H48" s="507"/>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row>
    <row r="49" spans="1:36" ht="25.5" x14ac:dyDescent="0.2">
      <c r="A49" s="10"/>
      <c r="B49" s="10"/>
      <c r="D49" s="115">
        <f>IF(AND(ISBLANK(E49),ISBLANK(F49)=FALSE),MAX(D$12:D48)+1,"")</f>
        <v>27</v>
      </c>
      <c r="E49" s="485"/>
      <c r="F49" s="486" t="s">
        <v>293</v>
      </c>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row>
    <row r="50" spans="1:36" x14ac:dyDescent="0.2">
      <c r="A50" s="10"/>
      <c r="B50" s="10"/>
      <c r="E50" s="484"/>
      <c r="F50" s="48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row>
    <row r="51" spans="1:36" x14ac:dyDescent="0.2">
      <c r="A51" s="10"/>
      <c r="B51" s="10"/>
      <c r="E51" s="484"/>
      <c r="F51" s="49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row>
    <row r="52" spans="1:36" x14ac:dyDescent="0.2">
      <c r="A52" s="10"/>
      <c r="B52" s="10"/>
      <c r="E52" s="4" t="s">
        <v>305</v>
      </c>
      <c r="F52" s="4"/>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row>
    <row r="53" spans="1:36" x14ac:dyDescent="0.2">
      <c r="A53" s="10"/>
      <c r="B53" s="10"/>
      <c r="E53" s="597" t="s">
        <v>405</v>
      </c>
      <c r="F53" s="4"/>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row>
    <row r="54" spans="1:36" ht="25.5" x14ac:dyDescent="0.2">
      <c r="A54" s="10"/>
      <c r="B54" s="10"/>
      <c r="E54" s="610" t="s">
        <v>307</v>
      </c>
      <c r="F54" s="609" t="s">
        <v>411</v>
      </c>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row>
    <row r="55" spans="1:36" x14ac:dyDescent="0.2">
      <c r="A55" s="10"/>
      <c r="B55" s="10"/>
      <c r="E55" s="4"/>
      <c r="F55" s="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row>
    <row r="56" spans="1:36" x14ac:dyDescent="0.2">
      <c r="A56" s="10"/>
      <c r="B56" s="10"/>
      <c r="D56" s="484"/>
      <c r="E56" s="597" t="s">
        <v>398</v>
      </c>
      <c r="F56" s="4"/>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row>
    <row r="57" spans="1:36" ht="38.25" x14ac:dyDescent="0.2">
      <c r="A57" s="10"/>
      <c r="B57" s="10"/>
      <c r="D57" s="484"/>
      <c r="E57" s="608" t="s">
        <v>307</v>
      </c>
      <c r="F57" s="609" t="s">
        <v>394</v>
      </c>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row>
    <row r="58" spans="1:36" x14ac:dyDescent="0.2">
      <c r="A58" s="10"/>
      <c r="B58" s="10"/>
      <c r="D58" s="484"/>
      <c r="E58" s="595" t="s">
        <v>307</v>
      </c>
      <c r="F58" s="594" t="s">
        <v>395</v>
      </c>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row>
    <row r="59" spans="1:36" x14ac:dyDescent="0.2">
      <c r="A59" s="10"/>
      <c r="B59" s="10"/>
      <c r="E59" s="595"/>
      <c r="F59" s="596"/>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row>
    <row r="60" spans="1:36" x14ac:dyDescent="0.2">
      <c r="A60" s="10"/>
      <c r="B60" s="10"/>
      <c r="E60" s="506" t="s">
        <v>396</v>
      </c>
      <c r="F60" s="4"/>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row>
    <row r="61" spans="1:36" ht="25.5" x14ac:dyDescent="0.2">
      <c r="A61" s="10"/>
      <c r="B61" s="10"/>
      <c r="E61" s="595" t="s">
        <v>307</v>
      </c>
      <c r="F61" s="594" t="s">
        <v>393</v>
      </c>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row>
    <row r="62" spans="1:36" x14ac:dyDescent="0.2">
      <c r="A62" s="10"/>
      <c r="B62" s="10"/>
      <c r="E62" s="491" t="s">
        <v>307</v>
      </c>
      <c r="F62" s="484" t="s">
        <v>380</v>
      </c>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row>
    <row r="63" spans="1:36" x14ac:dyDescent="0.2">
      <c r="A63" s="10"/>
      <c r="B63" s="10"/>
      <c r="E63" s="491" t="s">
        <v>307</v>
      </c>
      <c r="F63" s="484" t="s">
        <v>392</v>
      </c>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row>
    <row r="64" spans="1:36" x14ac:dyDescent="0.2">
      <c r="A64" s="10"/>
      <c r="B64" s="10"/>
      <c r="E64" s="4"/>
      <c r="F64" s="4"/>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row>
    <row r="65" spans="1:36" x14ac:dyDescent="0.2">
      <c r="A65" s="10"/>
      <c r="B65" s="10"/>
      <c r="E65" s="506" t="s">
        <v>365</v>
      </c>
      <c r="F65" s="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row>
    <row r="66" spans="1:36" x14ac:dyDescent="0.2">
      <c r="A66" s="10"/>
      <c r="B66" s="10"/>
      <c r="E66" s="491" t="s">
        <v>307</v>
      </c>
      <c r="F66" s="484" t="s">
        <v>366</v>
      </c>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row>
    <row r="67" spans="1:36" x14ac:dyDescent="0.2">
      <c r="A67" s="10"/>
      <c r="B67" s="10"/>
      <c r="E67" s="491"/>
      <c r="F67" s="484"/>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row>
    <row r="68" spans="1:36" x14ac:dyDescent="0.2">
      <c r="A68" s="10"/>
      <c r="B68" s="10"/>
      <c r="E68" s="484" t="s">
        <v>376</v>
      </c>
      <c r="F68" s="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row>
    <row r="69" spans="1:36" x14ac:dyDescent="0.2">
      <c r="A69" s="10"/>
      <c r="B69" s="10"/>
      <c r="E69" s="354" t="s">
        <v>307</v>
      </c>
      <c r="F69" s="484" t="s">
        <v>377</v>
      </c>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row>
    <row r="70" spans="1:36" x14ac:dyDescent="0.2">
      <c r="A70" s="10"/>
      <c r="B70" s="10"/>
      <c r="E70" s="354" t="s">
        <v>307</v>
      </c>
      <c r="F70" s="484" t="s">
        <v>378</v>
      </c>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row>
    <row r="71" spans="1:36" x14ac:dyDescent="0.2">
      <c r="A71" s="10"/>
      <c r="B71" s="10"/>
      <c r="E71" s="4"/>
      <c r="F71" s="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row>
    <row r="72" spans="1:36" x14ac:dyDescent="0.2">
      <c r="A72" s="10"/>
      <c r="B72" s="10"/>
      <c r="E72" s="484" t="s">
        <v>306</v>
      </c>
      <c r="F72" s="4"/>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row>
    <row r="73" spans="1:36" x14ac:dyDescent="0.2">
      <c r="A73" s="10"/>
      <c r="B73" s="10"/>
      <c r="E73" s="354" t="s">
        <v>307</v>
      </c>
      <c r="F73" t="s">
        <v>308</v>
      </c>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row>
    <row r="74" spans="1:36" x14ac:dyDescent="0.2">
      <c r="A74" s="10"/>
      <c r="B74" s="10"/>
      <c r="E74" s="354" t="s">
        <v>307</v>
      </c>
      <c r="F74" t="s">
        <v>312</v>
      </c>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row>
    <row r="75" spans="1:36" x14ac:dyDescent="0.2">
      <c r="A75" s="10"/>
      <c r="B75" s="10"/>
      <c r="E75" s="354" t="s">
        <v>307</v>
      </c>
      <c r="F75" t="s">
        <v>309</v>
      </c>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row>
    <row r="76" spans="1:36" x14ac:dyDescent="0.2">
      <c r="A76" s="10"/>
      <c r="B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row>
    <row r="77" spans="1:36" x14ac:dyDescent="0.2">
      <c r="A77" s="10"/>
      <c r="B77" s="10"/>
      <c r="E77" t="s">
        <v>310</v>
      </c>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row>
    <row r="78" spans="1:36" x14ac:dyDescent="0.2">
      <c r="A78" s="10"/>
      <c r="B78" s="10"/>
      <c r="E78" s="354" t="s">
        <v>307</v>
      </c>
      <c r="F78" t="s">
        <v>311</v>
      </c>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row>
    <row r="79" spans="1:36" x14ac:dyDescent="0.2">
      <c r="A79" s="10"/>
      <c r="B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row>
    <row r="80" spans="1:36" x14ac:dyDescent="0.2">
      <c r="A80" s="10"/>
      <c r="B80" s="10"/>
      <c r="D80" s="115" t="str">
        <f>IF(AND(ISBLANK(E80),ISBLANK(F80)=FALSE),MAX(D$12:D79)+1,"")</f>
        <v/>
      </c>
      <c r="E80" s="118"/>
      <c r="F80" s="118"/>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row>
    <row r="81" spans="1:36" x14ac:dyDescent="0.2">
      <c r="A81" s="10"/>
      <c r="B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row>
    <row r="82" spans="1:36"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row>
    <row r="83" spans="1:36"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row>
    <row r="84" spans="1:36"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row>
    <row r="85" spans="1:36"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row>
    <row r="86" spans="1:36"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row>
    <row r="87" spans="1:36"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row>
    <row r="88" spans="1:36"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row>
    <row r="89" spans="1:36"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row>
    <row r="90" spans="1:36"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row>
    <row r="91" spans="1:36"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row>
    <row r="92" spans="1:36"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row>
    <row r="93" spans="1:36"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row>
    <row r="94" spans="1:36"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row>
    <row r="95" spans="1:36"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row>
    <row r="96" spans="1:36"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row>
    <row r="97" spans="1:36"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row>
    <row r="98" spans="1:36"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row>
    <row r="99" spans="1:36"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row>
    <row r="100" spans="1:36"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row>
    <row r="101" spans="1:36"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row>
    <row r="102" spans="1:36"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row>
    <row r="103" spans="1:36"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row>
    <row r="104" spans="1:36"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row>
  </sheetData>
  <sheetProtection password="EFF1" sheet="1" objects="1" scenarios="1" selectLockedCells="1" selectUnlockedCells="1"/>
  <phoneticPr fontId="2" type="noConversion"/>
  <printOptions horizontalCentered="1"/>
  <pageMargins left="0.74803149606299213" right="0.74803149606299213" top="0.78740157480314965" bottom="0.78740157480314965" header="0.39370078740157483"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P180"/>
  <sheetViews>
    <sheetView showGridLines="0" showRowColHeaders="0" showOutlineSymbols="0" topLeftCell="A4" zoomScaleNormal="100" workbookViewId="0">
      <selection activeCell="C35" sqref="C35"/>
    </sheetView>
  </sheetViews>
  <sheetFormatPr defaultRowHeight="12.75" outlineLevelRow="1" outlineLevelCol="1" x14ac:dyDescent="0.2"/>
  <cols>
    <col min="1" max="1" width="1.7109375" customWidth="1"/>
    <col min="2" max="2" width="5.5703125" customWidth="1"/>
    <col min="17" max="17" width="5.5703125" customWidth="1"/>
    <col min="21" max="21" width="0" hidden="1" customWidth="1" outlineLevel="1"/>
    <col min="22" max="22" width="9.140625" collapsed="1"/>
  </cols>
  <sheetData>
    <row r="1" spans="1:42" hidden="1" outlineLevel="1" x14ac:dyDescent="0.2">
      <c r="B1" s="1" t="s">
        <v>110</v>
      </c>
      <c r="D1" s="1"/>
    </row>
    <row r="2" spans="1:42" hidden="1" outlineLevel="1" x14ac:dyDescent="0.2">
      <c r="B2" s="2" t="s">
        <v>296</v>
      </c>
      <c r="D2" s="2"/>
    </row>
    <row r="3" spans="1:42" hidden="1" outlineLevel="1" x14ac:dyDescent="0.2">
      <c r="B3" s="2" t="s">
        <v>297</v>
      </c>
      <c r="D3" s="2"/>
    </row>
    <row r="4" spans="1:42" collapsed="1" x14ac:dyDescent="0.2">
      <c r="A4" s="541"/>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row>
    <row r="5" spans="1:42" ht="30" x14ac:dyDescent="0.4">
      <c r="A5" s="541"/>
      <c r="B5" s="542" t="s">
        <v>298</v>
      </c>
      <c r="C5" s="547" t="str">
        <f>Help!E21</f>
        <v>Displaying the Calculator form:</v>
      </c>
      <c r="D5" s="548"/>
      <c r="E5" s="549"/>
      <c r="F5" s="549"/>
      <c r="G5" s="549"/>
      <c r="H5" s="549"/>
      <c r="I5" s="549"/>
      <c r="J5" s="549"/>
      <c r="K5" s="549"/>
      <c r="L5" s="549"/>
      <c r="M5" s="549"/>
      <c r="N5" s="549"/>
      <c r="O5" s="549"/>
      <c r="P5" s="549"/>
      <c r="Q5" s="549"/>
      <c r="R5" s="541"/>
      <c r="S5" s="541"/>
      <c r="T5" s="541"/>
      <c r="U5" s="543" t="s">
        <v>299</v>
      </c>
      <c r="V5" s="541"/>
      <c r="W5" s="541"/>
      <c r="X5" s="541"/>
      <c r="Y5" s="541"/>
      <c r="Z5" s="541"/>
      <c r="AA5" s="541"/>
      <c r="AB5" s="541"/>
      <c r="AC5" s="541"/>
      <c r="AD5" s="541"/>
      <c r="AE5" s="541"/>
      <c r="AF5" s="541"/>
      <c r="AG5" s="541"/>
      <c r="AH5" s="541"/>
      <c r="AI5" s="541"/>
      <c r="AJ5" s="541"/>
      <c r="AK5" s="541"/>
      <c r="AL5" s="541"/>
      <c r="AM5" s="541"/>
      <c r="AN5" s="541"/>
      <c r="AO5" s="541"/>
      <c r="AP5" s="541"/>
    </row>
    <row r="6" spans="1:42" x14ac:dyDescent="0.2">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row>
    <row r="7" spans="1:42" x14ac:dyDescent="0.2">
      <c r="A7" s="541"/>
      <c r="B7" s="541"/>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row>
    <row r="8" spans="1:42" x14ac:dyDescent="0.2">
      <c r="A8" s="541"/>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row>
    <row r="9" spans="1:42" x14ac:dyDescent="0.2">
      <c r="A9" s="541"/>
      <c r="B9" s="541"/>
      <c r="C9" s="541"/>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row>
    <row r="10" spans="1:42" x14ac:dyDescent="0.2">
      <c r="A10" s="541"/>
      <c r="B10" s="541"/>
      <c r="C10" s="544"/>
      <c r="D10" s="541"/>
      <c r="E10" s="541"/>
      <c r="F10" s="541"/>
      <c r="G10" s="541"/>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row>
    <row r="11" spans="1:42" x14ac:dyDescent="0.2">
      <c r="A11" s="541"/>
      <c r="B11" s="541"/>
      <c r="C11" s="544"/>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row>
    <row r="12" spans="1:42" x14ac:dyDescent="0.2">
      <c r="A12" s="541"/>
      <c r="B12" s="541"/>
      <c r="C12" s="544"/>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row>
    <row r="13" spans="1:42" x14ac:dyDescent="0.2">
      <c r="A13" s="541"/>
      <c r="B13" s="541"/>
      <c r="C13" s="544"/>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row>
    <row r="14" spans="1:42" x14ac:dyDescent="0.2">
      <c r="A14" s="541"/>
      <c r="B14" s="541"/>
      <c r="C14" s="544"/>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row>
    <row r="15" spans="1:42" x14ac:dyDescent="0.2">
      <c r="A15" s="541"/>
      <c r="B15" s="541"/>
      <c r="C15" s="544"/>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row>
    <row r="16" spans="1:42" x14ac:dyDescent="0.2">
      <c r="A16" s="541"/>
      <c r="B16" s="541"/>
      <c r="C16" s="544"/>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row>
    <row r="17" spans="1:42" x14ac:dyDescent="0.2">
      <c r="A17" s="541"/>
      <c r="B17" s="541"/>
      <c r="C17" s="544"/>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row>
    <row r="18" spans="1:42" x14ac:dyDescent="0.2">
      <c r="A18" s="541"/>
      <c r="B18" s="541"/>
      <c r="C18" s="544"/>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row>
    <row r="19" spans="1:42" x14ac:dyDescent="0.2">
      <c r="A19" s="541"/>
      <c r="B19" s="541"/>
      <c r="C19" s="544"/>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row>
    <row r="20" spans="1:42" x14ac:dyDescent="0.2">
      <c r="A20" s="541"/>
      <c r="B20" s="541"/>
      <c r="C20" s="544"/>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row>
    <row r="21" spans="1:42" x14ac:dyDescent="0.2">
      <c r="A21" s="541"/>
      <c r="B21" s="541"/>
      <c r="C21" s="544"/>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row>
    <row r="22" spans="1:42" x14ac:dyDescent="0.2">
      <c r="A22" s="541"/>
      <c r="B22" s="541"/>
      <c r="C22" s="544"/>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row>
    <row r="23" spans="1:42" x14ac:dyDescent="0.2">
      <c r="A23" s="541"/>
      <c r="B23" s="541"/>
      <c r="C23" s="544"/>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row>
    <row r="24" spans="1:42" x14ac:dyDescent="0.2">
      <c r="A24" s="541"/>
      <c r="B24" s="541"/>
      <c r="C24" s="544"/>
      <c r="D24" s="541"/>
      <c r="E24" s="545"/>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row>
    <row r="25" spans="1:42" x14ac:dyDescent="0.2">
      <c r="A25" s="541"/>
      <c r="B25" s="541"/>
      <c r="C25" s="544"/>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row>
    <row r="26" spans="1:42" x14ac:dyDescent="0.2">
      <c r="A26" s="541"/>
      <c r="B26" s="541"/>
      <c r="C26" s="544"/>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row>
    <row r="27" spans="1:42" x14ac:dyDescent="0.2">
      <c r="A27" s="541"/>
      <c r="B27" s="541"/>
      <c r="C27" s="544"/>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row>
    <row r="28" spans="1:42" x14ac:dyDescent="0.2">
      <c r="A28" s="541"/>
      <c r="B28" s="541"/>
      <c r="C28" s="544"/>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row>
    <row r="29" spans="1:42" x14ac:dyDescent="0.2">
      <c r="A29" s="541"/>
      <c r="B29" s="541"/>
      <c r="C29" s="544"/>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row>
    <row r="30" spans="1:42" x14ac:dyDescent="0.2">
      <c r="A30" s="541"/>
      <c r="B30" s="541"/>
      <c r="C30" s="544"/>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row>
    <row r="31" spans="1:42" x14ac:dyDescent="0.2">
      <c r="A31" s="541"/>
      <c r="B31" s="541"/>
      <c r="C31" s="544"/>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row>
    <row r="32" spans="1:42" x14ac:dyDescent="0.2">
      <c r="A32" s="541"/>
      <c r="B32" s="541"/>
      <c r="C32" s="544"/>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row>
    <row r="33" spans="1:42" x14ac:dyDescent="0.2">
      <c r="A33" s="541"/>
      <c r="B33" s="541"/>
      <c r="C33" s="544"/>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row>
    <row r="34" spans="1:42" x14ac:dyDescent="0.2">
      <c r="A34" s="541"/>
      <c r="B34" s="541"/>
      <c r="C34" s="544"/>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row>
    <row r="35" spans="1:42" x14ac:dyDescent="0.2">
      <c r="A35" s="541"/>
      <c r="B35" s="541"/>
      <c r="C35" s="544"/>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row>
    <row r="36" spans="1:42" x14ac:dyDescent="0.2">
      <c r="A36" s="541"/>
      <c r="B36" s="541"/>
      <c r="C36" s="544"/>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row>
    <row r="37" spans="1:42" x14ac:dyDescent="0.2">
      <c r="A37" s="541"/>
      <c r="B37" s="541"/>
      <c r="C37" s="544"/>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row>
    <row r="38" spans="1:42" x14ac:dyDescent="0.2">
      <c r="A38" s="541"/>
      <c r="B38" s="541"/>
      <c r="C38" s="544"/>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row>
    <row r="39" spans="1:42" x14ac:dyDescent="0.2">
      <c r="A39" s="541"/>
      <c r="B39" s="541"/>
      <c r="C39" s="544"/>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row>
    <row r="40" spans="1:42" x14ac:dyDescent="0.2">
      <c r="A40" s="541"/>
      <c r="B40" s="541"/>
      <c r="C40" s="544"/>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row>
    <row r="41" spans="1:42" x14ac:dyDescent="0.2">
      <c r="A41" s="541"/>
      <c r="B41" s="541"/>
      <c r="C41" s="544"/>
      <c r="D41" s="541"/>
      <c r="E41" s="541"/>
      <c r="F41" s="541"/>
      <c r="G41" s="541"/>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row>
    <row r="42" spans="1:42" x14ac:dyDescent="0.2">
      <c r="A42" s="541"/>
      <c r="B42" s="541"/>
      <c r="C42" s="544"/>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row>
    <row r="43" spans="1:42" x14ac:dyDescent="0.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row>
    <row r="44" spans="1:42" x14ac:dyDescent="0.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row>
    <row r="45" spans="1:42" x14ac:dyDescent="0.2">
      <c r="A45" s="541"/>
      <c r="B45" s="541"/>
      <c r="C45" s="541"/>
      <c r="D45" s="541"/>
      <c r="E45" s="541"/>
      <c r="F45" s="541"/>
      <c r="G45" s="541"/>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row>
    <row r="46" spans="1:42" x14ac:dyDescent="0.2">
      <c r="A46" s="541"/>
      <c r="B46" s="541"/>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row>
    <row r="47" spans="1:42" x14ac:dyDescent="0.2">
      <c r="A47" s="541"/>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row>
    <row r="48" spans="1:42" x14ac:dyDescent="0.2">
      <c r="A48" s="541"/>
      <c r="B48" s="541"/>
      <c r="C48" s="541"/>
      <c r="D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c r="AP48" s="541"/>
    </row>
    <row r="49" spans="1:42" x14ac:dyDescent="0.2">
      <c r="A49" s="541"/>
      <c r="B49" s="541"/>
      <c r="C49" s="541"/>
      <c r="D49" s="541"/>
      <c r="E49" s="541"/>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row>
    <row r="50" spans="1:42" x14ac:dyDescent="0.2">
      <c r="A50" s="541"/>
      <c r="B50" s="541"/>
      <c r="C50" s="541"/>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row>
    <row r="51" spans="1:42" x14ac:dyDescent="0.2">
      <c r="A51" s="541"/>
      <c r="B51" s="541"/>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row>
    <row r="52" spans="1:42" x14ac:dyDescent="0.2">
      <c r="A52" s="541"/>
      <c r="B52" s="541"/>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row>
    <row r="53" spans="1:42" x14ac:dyDescent="0.2">
      <c r="A53" s="541"/>
      <c r="B53" s="541"/>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row>
    <row r="54" spans="1:42" x14ac:dyDescent="0.2">
      <c r="A54" s="541"/>
      <c r="B54" s="541"/>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row>
    <row r="55" spans="1:42" x14ac:dyDescent="0.2">
      <c r="A55" s="541"/>
      <c r="B55" s="541"/>
      <c r="C55" s="541"/>
      <c r="D55" s="541"/>
      <c r="E55" s="541"/>
      <c r="F55" s="541"/>
      <c r="G55" s="541"/>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row>
    <row r="56" spans="1:42" x14ac:dyDescent="0.2">
      <c r="A56" s="541"/>
      <c r="B56" s="541"/>
      <c r="C56" s="541"/>
      <c r="D56" s="541"/>
      <c r="E56" s="541"/>
      <c r="F56" s="541"/>
      <c r="G56" s="541"/>
      <c r="H56" s="541"/>
      <c r="I56" s="541"/>
      <c r="J56" s="541"/>
      <c r="K56" s="541"/>
      <c r="L56" s="541"/>
      <c r="M56" s="541"/>
      <c r="N56" s="541"/>
      <c r="O56" s="541"/>
      <c r="P56" s="541"/>
      <c r="Q56" s="541"/>
      <c r="R56" s="541"/>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row>
    <row r="57" spans="1:42" x14ac:dyDescent="0.2">
      <c r="A57" s="541"/>
      <c r="B57" s="541"/>
      <c r="C57" s="541"/>
      <c r="D57" s="541"/>
      <c r="E57" s="541"/>
      <c r="F57" s="541"/>
      <c r="G57" s="541"/>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row>
    <row r="58" spans="1:42" x14ac:dyDescent="0.2">
      <c r="A58" s="541"/>
      <c r="B58" s="541"/>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41"/>
      <c r="AP58" s="541"/>
    </row>
    <row r="59" spans="1:42" x14ac:dyDescent="0.2">
      <c r="A59" s="541"/>
      <c r="B59" s="541"/>
      <c r="C59" s="541"/>
      <c r="D59" s="541"/>
      <c r="E59" s="541"/>
      <c r="F59" s="541"/>
      <c r="G59" s="541"/>
      <c r="H59" s="541"/>
      <c r="I59" s="541"/>
      <c r="J59" s="541"/>
      <c r="K59" s="541"/>
      <c r="L59" s="541"/>
      <c r="M59" s="541"/>
      <c r="N59" s="541"/>
      <c r="O59" s="541"/>
      <c r="P59" s="541"/>
      <c r="Q59" s="541"/>
      <c r="R59" s="541"/>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row>
    <row r="60" spans="1:42" x14ac:dyDescent="0.2">
      <c r="A60" s="541"/>
      <c r="B60" s="541"/>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row>
    <row r="61" spans="1:42" ht="30" x14ac:dyDescent="0.4">
      <c r="A61" s="541"/>
      <c r="B61" s="542" t="s">
        <v>300</v>
      </c>
      <c r="C61" s="547" t="str">
        <f>Help!E27</f>
        <v>Adding and changing glazing details:</v>
      </c>
      <c r="D61" s="548"/>
      <c r="E61" s="549"/>
      <c r="F61" s="549"/>
      <c r="G61" s="549"/>
      <c r="H61" s="549"/>
      <c r="I61" s="549"/>
      <c r="J61" s="549"/>
      <c r="K61" s="549"/>
      <c r="L61" s="549"/>
      <c r="M61" s="549"/>
      <c r="N61" s="549"/>
      <c r="O61" s="549"/>
      <c r="P61" s="549"/>
      <c r="Q61" s="549"/>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row>
    <row r="62" spans="1:42" x14ac:dyDescent="0.2">
      <c r="A62" s="541"/>
      <c r="B62" s="541"/>
      <c r="C62" s="541"/>
      <c r="D62" s="541"/>
      <c r="E62" s="541"/>
      <c r="F62" s="541"/>
      <c r="G62" s="541"/>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row>
    <row r="63" spans="1:42" x14ac:dyDescent="0.2">
      <c r="A63" s="541"/>
      <c r="B63" s="541"/>
      <c r="C63" s="541"/>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row>
    <row r="64" spans="1:42" x14ac:dyDescent="0.2">
      <c r="A64" s="541"/>
      <c r="B64" s="541"/>
      <c r="C64" s="541"/>
      <c r="D64" s="541"/>
      <c r="E64" s="541"/>
      <c r="F64" s="541"/>
      <c r="G64" s="541"/>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row>
    <row r="65" spans="1:42" x14ac:dyDescent="0.2">
      <c r="A65" s="541"/>
      <c r="B65" s="541"/>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row>
    <row r="66" spans="1:42" x14ac:dyDescent="0.2">
      <c r="A66" s="541"/>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row>
    <row r="67" spans="1:42" x14ac:dyDescent="0.2">
      <c r="A67" s="541"/>
      <c r="B67" s="541"/>
      <c r="C67" s="544"/>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row>
    <row r="68" spans="1:42" x14ac:dyDescent="0.2">
      <c r="A68" s="541"/>
      <c r="B68" s="541"/>
      <c r="C68" s="544"/>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row>
    <row r="69" spans="1:42" x14ac:dyDescent="0.2">
      <c r="A69" s="541"/>
      <c r="B69" s="541"/>
      <c r="C69" s="544"/>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row>
    <row r="70" spans="1:42" x14ac:dyDescent="0.2">
      <c r="A70" s="541"/>
      <c r="B70" s="541"/>
      <c r="C70" s="544"/>
      <c r="D70" s="541"/>
      <c r="E70" s="541"/>
      <c r="F70" s="541"/>
      <c r="G70" s="541"/>
      <c r="H70" s="541"/>
      <c r="I70" s="54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row>
    <row r="71" spans="1:42" x14ac:dyDescent="0.2">
      <c r="A71" s="541"/>
      <c r="B71" s="541"/>
      <c r="C71" s="544"/>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row>
    <row r="72" spans="1:42" x14ac:dyDescent="0.2">
      <c r="A72" s="541"/>
      <c r="B72" s="541"/>
      <c r="C72" s="544"/>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row>
    <row r="73" spans="1:42" x14ac:dyDescent="0.2">
      <c r="A73" s="541"/>
      <c r="B73" s="541"/>
      <c r="C73" s="544"/>
      <c r="D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row>
    <row r="74" spans="1:42" x14ac:dyDescent="0.2">
      <c r="A74" s="541"/>
      <c r="B74" s="541"/>
      <c r="C74" s="544"/>
      <c r="D74" s="541"/>
      <c r="E74" s="541"/>
      <c r="F74" s="541"/>
      <c r="G74" s="541"/>
      <c r="H74" s="541"/>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1"/>
      <c r="AP74" s="541"/>
    </row>
    <row r="75" spans="1:42" x14ac:dyDescent="0.2">
      <c r="A75" s="541"/>
      <c r="B75" s="541"/>
      <c r="C75" s="544"/>
      <c r="D75" s="541"/>
      <c r="E75" s="541"/>
      <c r="F75" s="541"/>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row>
    <row r="76" spans="1:42" x14ac:dyDescent="0.2">
      <c r="A76" s="541"/>
      <c r="B76" s="541"/>
      <c r="C76" s="544"/>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row>
    <row r="77" spans="1:42" x14ac:dyDescent="0.2">
      <c r="A77" s="541"/>
      <c r="B77" s="541"/>
      <c r="C77" s="544"/>
      <c r="D77" s="541"/>
      <c r="E77" s="541"/>
      <c r="F77" s="541"/>
      <c r="G77" s="541"/>
      <c r="H77" s="541"/>
      <c r="I77" s="541"/>
      <c r="J77" s="541"/>
      <c r="K77" s="541"/>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c r="AK77" s="541"/>
      <c r="AL77" s="541"/>
      <c r="AM77" s="541"/>
      <c r="AN77" s="541"/>
      <c r="AO77" s="541"/>
      <c r="AP77" s="541"/>
    </row>
    <row r="78" spans="1:42" x14ac:dyDescent="0.2">
      <c r="A78" s="541"/>
      <c r="B78" s="541"/>
      <c r="C78" s="544"/>
      <c r="D78" s="541"/>
      <c r="E78" s="541"/>
      <c r="F78" s="541"/>
      <c r="G78" s="541"/>
      <c r="H78" s="541"/>
      <c r="I78" s="541"/>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1"/>
      <c r="AG78" s="541"/>
      <c r="AH78" s="541"/>
      <c r="AI78" s="541"/>
      <c r="AJ78" s="541"/>
      <c r="AK78" s="541"/>
      <c r="AL78" s="541"/>
      <c r="AM78" s="541"/>
      <c r="AN78" s="541"/>
      <c r="AO78" s="541"/>
      <c r="AP78" s="541"/>
    </row>
    <row r="79" spans="1:42" x14ac:dyDescent="0.2">
      <c r="A79" s="541"/>
      <c r="B79" s="541"/>
      <c r="C79" s="544"/>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1"/>
      <c r="AG79" s="541"/>
      <c r="AH79" s="541"/>
      <c r="AI79" s="541"/>
      <c r="AJ79" s="541"/>
      <c r="AK79" s="541"/>
      <c r="AL79" s="541"/>
      <c r="AM79" s="541"/>
      <c r="AN79" s="541"/>
      <c r="AO79" s="541"/>
      <c r="AP79" s="541"/>
    </row>
    <row r="80" spans="1:42" x14ac:dyDescent="0.2">
      <c r="A80" s="541"/>
      <c r="B80" s="541"/>
      <c r="C80" s="544"/>
      <c r="D80" s="541"/>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1"/>
      <c r="AL80" s="541"/>
      <c r="AM80" s="541"/>
      <c r="AN80" s="541"/>
      <c r="AO80" s="541"/>
      <c r="AP80" s="541"/>
    </row>
    <row r="81" spans="1:42" x14ac:dyDescent="0.2">
      <c r="A81" s="541"/>
      <c r="B81" s="541"/>
      <c r="C81" s="544"/>
      <c r="D81" s="541"/>
      <c r="E81" s="541"/>
      <c r="F81" s="541"/>
      <c r="G81" s="541"/>
      <c r="H81" s="541"/>
      <c r="I81" s="541"/>
      <c r="J81" s="541"/>
      <c r="K81" s="541"/>
      <c r="L81" s="541"/>
      <c r="M81" s="541"/>
      <c r="N81" s="541"/>
      <c r="O81" s="541"/>
      <c r="P81" s="541"/>
      <c r="Q81" s="541"/>
      <c r="R81" s="541"/>
      <c r="S81" s="541"/>
      <c r="T81" s="541"/>
      <c r="U81" s="541"/>
      <c r="V81" s="541"/>
      <c r="W81" s="541"/>
      <c r="X81" s="541"/>
      <c r="Y81" s="541"/>
      <c r="Z81" s="541"/>
      <c r="AA81" s="541"/>
      <c r="AB81" s="541"/>
      <c r="AC81" s="541"/>
      <c r="AD81" s="541"/>
      <c r="AE81" s="541"/>
      <c r="AF81" s="541"/>
      <c r="AG81" s="541"/>
      <c r="AH81" s="541"/>
      <c r="AI81" s="541"/>
      <c r="AJ81" s="541"/>
      <c r="AK81" s="541"/>
      <c r="AL81" s="541"/>
      <c r="AM81" s="541"/>
      <c r="AN81" s="541"/>
      <c r="AO81" s="541"/>
      <c r="AP81" s="541"/>
    </row>
    <row r="82" spans="1:42" x14ac:dyDescent="0.2">
      <c r="A82" s="541"/>
      <c r="B82" s="541"/>
      <c r="C82" s="544"/>
      <c r="D82" s="541"/>
      <c r="E82" s="541"/>
      <c r="F82" s="541"/>
      <c r="G82" s="541"/>
      <c r="H82" s="541"/>
      <c r="I82" s="541"/>
      <c r="J82" s="541"/>
      <c r="K82" s="541"/>
      <c r="L82" s="541"/>
      <c r="M82" s="541"/>
      <c r="N82" s="541"/>
      <c r="O82" s="541"/>
      <c r="P82" s="541"/>
      <c r="Q82" s="541"/>
      <c r="R82" s="541"/>
      <c r="S82" s="541"/>
      <c r="T82" s="541"/>
      <c r="U82" s="541"/>
      <c r="V82" s="541"/>
      <c r="W82" s="541"/>
      <c r="X82" s="541"/>
      <c r="Y82" s="541"/>
      <c r="Z82" s="541"/>
      <c r="AA82" s="541"/>
      <c r="AB82" s="541"/>
      <c r="AC82" s="541"/>
      <c r="AD82" s="541"/>
      <c r="AE82" s="541"/>
      <c r="AF82" s="541"/>
      <c r="AG82" s="541"/>
      <c r="AH82" s="541"/>
      <c r="AI82" s="541"/>
      <c r="AJ82" s="541"/>
      <c r="AK82" s="541"/>
      <c r="AL82" s="541"/>
      <c r="AM82" s="541"/>
      <c r="AN82" s="541"/>
      <c r="AO82" s="541"/>
      <c r="AP82" s="541"/>
    </row>
    <row r="83" spans="1:42" x14ac:dyDescent="0.2">
      <c r="A83" s="541"/>
      <c r="B83" s="541"/>
      <c r="C83" s="544"/>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1"/>
      <c r="AL83" s="541"/>
      <c r="AM83" s="541"/>
      <c r="AN83" s="541"/>
      <c r="AO83" s="541"/>
      <c r="AP83" s="541"/>
    </row>
    <row r="84" spans="1:42" x14ac:dyDescent="0.2">
      <c r="A84" s="541"/>
      <c r="B84" s="541"/>
      <c r="C84" s="544"/>
      <c r="D84" s="541"/>
      <c r="E84" s="541"/>
      <c r="F84" s="541"/>
      <c r="G84" s="541"/>
      <c r="H84" s="541"/>
      <c r="I84" s="541"/>
      <c r="J84" s="541"/>
      <c r="K84" s="541"/>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c r="AK84" s="541"/>
      <c r="AL84" s="541"/>
      <c r="AM84" s="541"/>
      <c r="AN84" s="541"/>
      <c r="AO84" s="541"/>
      <c r="AP84" s="541"/>
    </row>
    <row r="85" spans="1:42" x14ac:dyDescent="0.2">
      <c r="A85" s="541"/>
      <c r="B85" s="541"/>
      <c r="C85" s="544"/>
      <c r="D85" s="541"/>
      <c r="E85" s="541"/>
      <c r="F85" s="541"/>
      <c r="G85" s="541"/>
      <c r="H85" s="541"/>
      <c r="I85" s="541"/>
      <c r="J85" s="541"/>
      <c r="K85" s="541"/>
      <c r="L85" s="541"/>
      <c r="M85" s="541"/>
      <c r="N85" s="541"/>
      <c r="O85" s="541"/>
      <c r="P85" s="541"/>
      <c r="Q85" s="541"/>
      <c r="R85" s="541"/>
      <c r="S85" s="541"/>
      <c r="T85" s="541"/>
      <c r="U85" s="541"/>
      <c r="V85" s="541"/>
      <c r="W85" s="541"/>
      <c r="X85" s="541"/>
      <c r="Y85" s="541"/>
      <c r="Z85" s="541"/>
      <c r="AA85" s="541"/>
      <c r="AB85" s="541"/>
      <c r="AC85" s="541"/>
      <c r="AD85" s="541"/>
      <c r="AE85" s="541"/>
      <c r="AF85" s="541"/>
      <c r="AG85" s="541"/>
      <c r="AH85" s="541"/>
      <c r="AI85" s="541"/>
      <c r="AJ85" s="541"/>
      <c r="AK85" s="541"/>
      <c r="AL85" s="541"/>
      <c r="AM85" s="541"/>
      <c r="AN85" s="541"/>
      <c r="AO85" s="541"/>
      <c r="AP85" s="541"/>
    </row>
    <row r="86" spans="1:42" x14ac:dyDescent="0.2">
      <c r="A86" s="541"/>
      <c r="B86" s="541"/>
      <c r="C86" s="544"/>
      <c r="D86" s="541"/>
      <c r="E86" s="541"/>
      <c r="F86" s="541"/>
      <c r="G86" s="541"/>
      <c r="H86" s="541"/>
      <c r="I86" s="541"/>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c r="AG86" s="541"/>
      <c r="AH86" s="541"/>
      <c r="AI86" s="541"/>
      <c r="AJ86" s="541"/>
      <c r="AK86" s="541"/>
      <c r="AL86" s="541"/>
      <c r="AM86" s="541"/>
      <c r="AN86" s="541"/>
      <c r="AO86" s="541"/>
      <c r="AP86" s="541"/>
    </row>
    <row r="87" spans="1:42" x14ac:dyDescent="0.2">
      <c r="A87" s="541"/>
      <c r="B87" s="541"/>
      <c r="C87" s="544"/>
      <c r="D87" s="541"/>
      <c r="E87" s="541"/>
      <c r="F87" s="541"/>
      <c r="G87" s="541"/>
      <c r="H87" s="541"/>
      <c r="I87" s="541"/>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c r="AK87" s="541"/>
      <c r="AL87" s="541"/>
      <c r="AM87" s="541"/>
      <c r="AN87" s="541"/>
      <c r="AO87" s="541"/>
      <c r="AP87" s="541"/>
    </row>
    <row r="88" spans="1:42" x14ac:dyDescent="0.2">
      <c r="A88" s="541"/>
      <c r="B88" s="541"/>
      <c r="C88" s="544"/>
      <c r="D88" s="541"/>
      <c r="E88" s="541"/>
      <c r="F88" s="541"/>
      <c r="G88" s="541"/>
      <c r="H88" s="541"/>
      <c r="I88" s="541"/>
      <c r="J88" s="541"/>
      <c r="K88" s="541"/>
      <c r="L88" s="541"/>
      <c r="M88" s="541"/>
      <c r="N88" s="541"/>
      <c r="O88" s="541"/>
      <c r="P88" s="541"/>
      <c r="Q88" s="541"/>
      <c r="R88" s="541"/>
      <c r="S88" s="541"/>
      <c r="T88" s="541"/>
      <c r="U88" s="541"/>
      <c r="V88" s="541"/>
      <c r="W88" s="541"/>
      <c r="X88" s="541"/>
      <c r="Y88" s="541"/>
      <c r="Z88" s="541"/>
      <c r="AA88" s="541"/>
      <c r="AB88" s="541"/>
      <c r="AC88" s="541"/>
      <c r="AD88" s="541"/>
      <c r="AE88" s="541"/>
      <c r="AF88" s="541"/>
      <c r="AG88" s="541"/>
      <c r="AH88" s="541"/>
      <c r="AI88" s="541"/>
      <c r="AJ88" s="541"/>
      <c r="AK88" s="541"/>
      <c r="AL88" s="541"/>
      <c r="AM88" s="541"/>
      <c r="AN88" s="541"/>
      <c r="AO88" s="541"/>
      <c r="AP88" s="541"/>
    </row>
    <row r="89" spans="1:42" x14ac:dyDescent="0.2">
      <c r="A89" s="541"/>
      <c r="B89" s="541"/>
      <c r="C89" s="544"/>
      <c r="D89" s="541"/>
      <c r="E89" s="541"/>
      <c r="F89" s="541"/>
      <c r="G89" s="541"/>
      <c r="H89" s="541"/>
      <c r="I89" s="541"/>
      <c r="J89" s="541"/>
      <c r="K89" s="541"/>
      <c r="L89" s="541"/>
      <c r="M89" s="541"/>
      <c r="N89" s="541"/>
      <c r="O89" s="541"/>
      <c r="P89" s="541"/>
      <c r="Q89" s="541"/>
      <c r="R89" s="541"/>
      <c r="S89" s="541"/>
      <c r="T89" s="541"/>
      <c r="U89" s="541"/>
      <c r="V89" s="541"/>
      <c r="W89" s="541"/>
      <c r="X89" s="541"/>
      <c r="Y89" s="541"/>
      <c r="Z89" s="541"/>
      <c r="AA89" s="541"/>
      <c r="AB89" s="541"/>
      <c r="AC89" s="541"/>
      <c r="AD89" s="541"/>
      <c r="AE89" s="541"/>
      <c r="AF89" s="541"/>
      <c r="AG89" s="541"/>
      <c r="AH89" s="541"/>
      <c r="AI89" s="541"/>
      <c r="AJ89" s="541"/>
      <c r="AK89" s="541"/>
      <c r="AL89" s="541"/>
      <c r="AM89" s="541"/>
      <c r="AN89" s="541"/>
      <c r="AO89" s="541"/>
      <c r="AP89" s="541"/>
    </row>
    <row r="90" spans="1:42" x14ac:dyDescent="0.2">
      <c r="A90" s="541"/>
      <c r="B90" s="541"/>
      <c r="C90" s="544"/>
      <c r="D90" s="541"/>
      <c r="E90" s="541"/>
      <c r="F90" s="541"/>
      <c r="G90" s="541"/>
      <c r="H90" s="541"/>
      <c r="I90" s="541"/>
      <c r="J90" s="541"/>
      <c r="K90" s="541"/>
      <c r="L90" s="541"/>
      <c r="M90" s="541"/>
      <c r="N90" s="541"/>
      <c r="O90" s="541"/>
      <c r="P90" s="541"/>
      <c r="Q90" s="541"/>
      <c r="R90" s="541"/>
      <c r="S90" s="541"/>
      <c r="T90" s="541"/>
      <c r="U90" s="541"/>
      <c r="V90" s="541"/>
      <c r="W90" s="541"/>
      <c r="X90" s="541"/>
      <c r="Y90" s="541"/>
      <c r="Z90" s="541"/>
      <c r="AA90" s="541"/>
      <c r="AB90" s="541"/>
      <c r="AC90" s="541"/>
      <c r="AD90" s="541"/>
      <c r="AE90" s="541"/>
      <c r="AF90" s="541"/>
      <c r="AG90" s="541"/>
      <c r="AH90" s="541"/>
      <c r="AI90" s="541"/>
      <c r="AJ90" s="541"/>
      <c r="AK90" s="541"/>
      <c r="AL90" s="541"/>
      <c r="AM90" s="541"/>
      <c r="AN90" s="541"/>
      <c r="AO90" s="541"/>
      <c r="AP90" s="541"/>
    </row>
    <row r="91" spans="1:42" x14ac:dyDescent="0.2">
      <c r="A91" s="541"/>
      <c r="B91" s="541"/>
      <c r="C91" s="544"/>
      <c r="D91" s="541"/>
      <c r="E91" s="541"/>
      <c r="F91" s="541"/>
      <c r="G91" s="541"/>
      <c r="H91" s="541"/>
      <c r="I91" s="541"/>
      <c r="J91" s="541"/>
      <c r="K91" s="541"/>
      <c r="L91" s="541"/>
      <c r="M91" s="541"/>
      <c r="N91" s="541"/>
      <c r="O91" s="541"/>
      <c r="P91" s="541"/>
      <c r="Q91" s="541"/>
      <c r="R91" s="541"/>
      <c r="S91" s="541"/>
      <c r="T91" s="541"/>
      <c r="U91" s="541"/>
      <c r="V91" s="541"/>
      <c r="W91" s="541"/>
      <c r="X91" s="541"/>
      <c r="Y91" s="541"/>
      <c r="Z91" s="541"/>
      <c r="AA91" s="541"/>
      <c r="AB91" s="541"/>
      <c r="AC91" s="541"/>
      <c r="AD91" s="541"/>
      <c r="AE91" s="541"/>
      <c r="AF91" s="541"/>
      <c r="AG91" s="541"/>
      <c r="AH91" s="541"/>
      <c r="AI91" s="541"/>
      <c r="AJ91" s="541"/>
      <c r="AK91" s="541"/>
      <c r="AL91" s="541"/>
      <c r="AM91" s="541"/>
      <c r="AN91" s="541"/>
      <c r="AO91" s="541"/>
      <c r="AP91" s="541"/>
    </row>
    <row r="92" spans="1:42" x14ac:dyDescent="0.2">
      <c r="A92" s="541"/>
      <c r="B92" s="541"/>
      <c r="C92" s="544"/>
      <c r="D92" s="541"/>
      <c r="E92" s="541"/>
      <c r="F92" s="541"/>
      <c r="G92" s="541"/>
      <c r="H92" s="541"/>
      <c r="I92" s="541"/>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c r="AI92" s="541"/>
      <c r="AJ92" s="541"/>
      <c r="AK92" s="541"/>
      <c r="AL92" s="541"/>
      <c r="AM92" s="541"/>
      <c r="AN92" s="541"/>
      <c r="AO92" s="541"/>
      <c r="AP92" s="541"/>
    </row>
    <row r="93" spans="1:42" x14ac:dyDescent="0.2">
      <c r="A93" s="541"/>
      <c r="B93" s="541"/>
      <c r="C93" s="544"/>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row>
    <row r="94" spans="1:42" x14ac:dyDescent="0.2">
      <c r="A94" s="541"/>
      <c r="B94" s="541"/>
      <c r="C94" s="544"/>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541"/>
      <c r="AH94" s="541"/>
      <c r="AI94" s="541"/>
      <c r="AJ94" s="541"/>
      <c r="AK94" s="541"/>
      <c r="AL94" s="541"/>
      <c r="AM94" s="541"/>
      <c r="AN94" s="541"/>
      <c r="AO94" s="541"/>
      <c r="AP94" s="541"/>
    </row>
    <row r="95" spans="1:42" x14ac:dyDescent="0.2">
      <c r="A95" s="541"/>
      <c r="B95" s="541"/>
      <c r="C95" s="544"/>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c r="AK95" s="541"/>
      <c r="AL95" s="541"/>
      <c r="AM95" s="541"/>
      <c r="AN95" s="541"/>
      <c r="AO95" s="541"/>
      <c r="AP95" s="541"/>
    </row>
    <row r="96" spans="1:42" x14ac:dyDescent="0.2">
      <c r="A96" s="541"/>
      <c r="B96" s="541"/>
      <c r="C96" s="544"/>
      <c r="D96" s="541"/>
      <c r="E96" s="541"/>
      <c r="F96" s="54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c r="AI96" s="541"/>
      <c r="AJ96" s="541"/>
      <c r="AK96" s="541"/>
      <c r="AL96" s="541"/>
      <c r="AM96" s="541"/>
      <c r="AN96" s="541"/>
      <c r="AO96" s="541"/>
      <c r="AP96" s="541"/>
    </row>
    <row r="97" spans="1:42" x14ac:dyDescent="0.2">
      <c r="A97" s="541"/>
      <c r="B97" s="541"/>
      <c r="C97" s="544"/>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41"/>
      <c r="AK97" s="541"/>
      <c r="AL97" s="541"/>
      <c r="AM97" s="541"/>
      <c r="AN97" s="541"/>
      <c r="AO97" s="541"/>
      <c r="AP97" s="541"/>
    </row>
    <row r="98" spans="1:42" x14ac:dyDescent="0.2">
      <c r="A98" s="541"/>
      <c r="B98" s="541"/>
      <c r="C98" s="544"/>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c r="AN98" s="541"/>
      <c r="AO98" s="541"/>
      <c r="AP98" s="541"/>
    </row>
    <row r="99" spans="1:42" x14ac:dyDescent="0.2">
      <c r="A99" s="541"/>
      <c r="B99" s="541"/>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c r="AN99" s="541"/>
      <c r="AO99" s="541"/>
      <c r="AP99" s="541"/>
    </row>
    <row r="100" spans="1:42" x14ac:dyDescent="0.2">
      <c r="A100" s="541"/>
      <c r="B100" s="541"/>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541"/>
      <c r="AH100" s="541"/>
      <c r="AI100" s="541"/>
      <c r="AJ100" s="541"/>
      <c r="AK100" s="541"/>
      <c r="AL100" s="541"/>
      <c r="AM100" s="541"/>
      <c r="AN100" s="541"/>
      <c r="AO100" s="541"/>
      <c r="AP100" s="541"/>
    </row>
    <row r="101" spans="1:42" x14ac:dyDescent="0.2">
      <c r="A101" s="541"/>
      <c r="B101" s="54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c r="AK101" s="541"/>
      <c r="AL101" s="541"/>
      <c r="AM101" s="541"/>
      <c r="AN101" s="541"/>
      <c r="AO101" s="541"/>
      <c r="AP101" s="541"/>
    </row>
    <row r="102" spans="1:42" x14ac:dyDescent="0.2">
      <c r="A102" s="541"/>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row>
    <row r="103" spans="1:42" x14ac:dyDescent="0.2">
      <c r="A103" s="541"/>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row>
    <row r="104" spans="1:42" x14ac:dyDescent="0.2">
      <c r="A104" s="541"/>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row>
    <row r="105" spans="1:42" x14ac:dyDescent="0.2">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c r="AK105" s="541"/>
      <c r="AL105" s="541"/>
      <c r="AM105" s="541"/>
      <c r="AN105" s="541"/>
      <c r="AO105" s="541"/>
      <c r="AP105" s="541"/>
    </row>
    <row r="106" spans="1:42" x14ac:dyDescent="0.2">
      <c r="A106" s="541"/>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41"/>
      <c r="AL106" s="541"/>
      <c r="AM106" s="541"/>
      <c r="AN106" s="541"/>
      <c r="AO106" s="541"/>
      <c r="AP106" s="541"/>
    </row>
    <row r="107" spans="1:42" x14ac:dyDescent="0.2">
      <c r="A107" s="541"/>
      <c r="B107" s="541"/>
      <c r="C107" s="541"/>
      <c r="D107" s="541"/>
      <c r="E107" s="541"/>
      <c r="F107" s="54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c r="AK107" s="541"/>
      <c r="AL107" s="541"/>
      <c r="AM107" s="541"/>
      <c r="AN107" s="541"/>
      <c r="AO107" s="541"/>
      <c r="AP107" s="541"/>
    </row>
    <row r="108" spans="1:42" x14ac:dyDescent="0.2">
      <c r="A108" s="541"/>
      <c r="B108" s="541"/>
      <c r="C108" s="541"/>
      <c r="D108" s="541"/>
      <c r="E108" s="541"/>
      <c r="F108" s="541"/>
      <c r="G108" s="541"/>
      <c r="H108" s="541"/>
      <c r="I108" s="541"/>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c r="AI108" s="541"/>
      <c r="AJ108" s="541"/>
      <c r="AK108" s="541"/>
      <c r="AL108" s="541"/>
      <c r="AM108" s="541"/>
      <c r="AN108" s="541"/>
      <c r="AO108" s="541"/>
      <c r="AP108" s="541"/>
    </row>
    <row r="109" spans="1:42" x14ac:dyDescent="0.2">
      <c r="A109" s="541"/>
      <c r="B109" s="541"/>
      <c r="C109" s="541"/>
      <c r="D109" s="541"/>
      <c r="E109" s="541"/>
      <c r="F109" s="541"/>
      <c r="G109" s="541"/>
      <c r="H109" s="541"/>
      <c r="I109" s="541"/>
      <c r="J109" s="541"/>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c r="AI109" s="541"/>
      <c r="AJ109" s="541"/>
      <c r="AK109" s="541"/>
      <c r="AL109" s="541"/>
      <c r="AM109" s="541"/>
      <c r="AN109" s="541"/>
      <c r="AO109" s="541"/>
      <c r="AP109" s="541"/>
    </row>
    <row r="110" spans="1:42" x14ac:dyDescent="0.2">
      <c r="A110" s="541"/>
      <c r="B110" s="541"/>
      <c r="C110" s="541"/>
      <c r="D110" s="541"/>
      <c r="E110" s="541"/>
      <c r="F110" s="541"/>
      <c r="G110" s="541"/>
      <c r="H110" s="541"/>
      <c r="I110" s="541"/>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c r="AK110" s="541"/>
      <c r="AL110" s="541"/>
      <c r="AM110" s="541"/>
      <c r="AN110" s="541"/>
      <c r="AO110" s="541"/>
      <c r="AP110" s="541"/>
    </row>
    <row r="111" spans="1:42" x14ac:dyDescent="0.2">
      <c r="A111" s="541"/>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N111" s="541"/>
      <c r="AO111" s="541"/>
      <c r="AP111" s="541"/>
    </row>
    <row r="112" spans="1:42" x14ac:dyDescent="0.2">
      <c r="A112" s="541"/>
      <c r="B112" s="541"/>
      <c r="C112" s="541"/>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N112" s="541"/>
      <c r="AO112" s="541"/>
      <c r="AP112" s="541"/>
    </row>
    <row r="113" spans="1:42" x14ac:dyDescent="0.2">
      <c r="A113" s="541"/>
      <c r="B113" s="541"/>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541"/>
      <c r="Z113" s="541"/>
      <c r="AA113" s="541"/>
      <c r="AB113" s="541"/>
      <c r="AC113" s="541"/>
      <c r="AD113" s="541"/>
      <c r="AE113" s="541"/>
      <c r="AF113" s="541"/>
      <c r="AG113" s="541"/>
      <c r="AH113" s="541"/>
      <c r="AI113" s="541"/>
      <c r="AJ113" s="541"/>
      <c r="AK113" s="541"/>
      <c r="AL113" s="541"/>
      <c r="AM113" s="541"/>
      <c r="AN113" s="541"/>
      <c r="AO113" s="541"/>
      <c r="AP113" s="541"/>
    </row>
    <row r="114" spans="1:42" x14ac:dyDescent="0.2">
      <c r="A114" s="541"/>
      <c r="B114" s="541"/>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541"/>
      <c r="Z114" s="541"/>
      <c r="AA114" s="541"/>
      <c r="AB114" s="541"/>
      <c r="AC114" s="541"/>
      <c r="AD114" s="541"/>
      <c r="AE114" s="541"/>
      <c r="AF114" s="541"/>
      <c r="AG114" s="541"/>
      <c r="AH114" s="541"/>
      <c r="AI114" s="541"/>
      <c r="AJ114" s="541"/>
      <c r="AK114" s="541"/>
      <c r="AL114" s="541"/>
      <c r="AM114" s="541"/>
      <c r="AN114" s="541"/>
      <c r="AO114" s="541"/>
      <c r="AP114" s="541"/>
    </row>
    <row r="115" spans="1:42" x14ac:dyDescent="0.2">
      <c r="A115" s="541"/>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N115" s="541"/>
      <c r="AO115" s="541"/>
      <c r="AP115" s="541"/>
    </row>
    <row r="116" spans="1:42" x14ac:dyDescent="0.2">
      <c r="A116" s="541"/>
      <c r="B116" s="541"/>
      <c r="C116" s="541"/>
      <c r="D116" s="541"/>
      <c r="E116" s="541"/>
      <c r="F116" s="541"/>
      <c r="G116" s="541"/>
      <c r="H116" s="541"/>
      <c r="I116" s="541"/>
      <c r="J116" s="541"/>
      <c r="K116" s="541"/>
      <c r="L116" s="541"/>
      <c r="M116" s="541"/>
      <c r="N116" s="541"/>
      <c r="O116" s="541"/>
      <c r="P116" s="541"/>
      <c r="Q116" s="541"/>
      <c r="R116" s="541"/>
      <c r="S116" s="541"/>
      <c r="T116" s="541"/>
      <c r="U116" s="541"/>
      <c r="V116" s="541"/>
      <c r="W116" s="541"/>
      <c r="X116" s="541"/>
      <c r="Y116" s="541"/>
      <c r="Z116" s="541"/>
      <c r="AA116" s="541"/>
      <c r="AB116" s="541"/>
      <c r="AC116" s="541"/>
      <c r="AD116" s="541"/>
      <c r="AE116" s="541"/>
      <c r="AF116" s="541"/>
      <c r="AG116" s="541"/>
      <c r="AH116" s="541"/>
      <c r="AI116" s="541"/>
      <c r="AJ116" s="541"/>
      <c r="AK116" s="541"/>
      <c r="AL116" s="541"/>
      <c r="AM116" s="541"/>
      <c r="AN116" s="541"/>
      <c r="AO116" s="541"/>
      <c r="AP116" s="541"/>
    </row>
    <row r="117" spans="1:42" x14ac:dyDescent="0.2">
      <c r="A117" s="541"/>
      <c r="B117" s="541"/>
      <c r="C117" s="541"/>
      <c r="D117" s="541"/>
      <c r="E117" s="541"/>
      <c r="F117" s="541"/>
      <c r="G117" s="541"/>
      <c r="H117" s="541"/>
      <c r="I117" s="541"/>
      <c r="J117" s="541"/>
      <c r="K117" s="541"/>
      <c r="L117" s="541"/>
      <c r="M117" s="541"/>
      <c r="N117" s="541"/>
      <c r="O117" s="541"/>
      <c r="P117" s="541"/>
      <c r="Q117" s="541"/>
      <c r="R117" s="541"/>
      <c r="S117" s="541"/>
      <c r="T117" s="541"/>
      <c r="U117" s="541"/>
      <c r="V117" s="541"/>
      <c r="W117" s="541"/>
      <c r="X117" s="541"/>
      <c r="Y117" s="541"/>
      <c r="Z117" s="541"/>
      <c r="AA117" s="541"/>
      <c r="AB117" s="541"/>
      <c r="AC117" s="541"/>
      <c r="AD117" s="541"/>
      <c r="AE117" s="541"/>
      <c r="AF117" s="541"/>
      <c r="AG117" s="541"/>
      <c r="AH117" s="541"/>
      <c r="AI117" s="541"/>
      <c r="AJ117" s="541"/>
      <c r="AK117" s="541"/>
      <c r="AL117" s="541"/>
      <c r="AM117" s="541"/>
      <c r="AN117" s="541"/>
      <c r="AO117" s="541"/>
      <c r="AP117" s="541"/>
    </row>
    <row r="118" spans="1:42" ht="30" x14ac:dyDescent="0.4">
      <c r="A118" s="541"/>
      <c r="B118" s="542" t="s">
        <v>301</v>
      </c>
      <c r="C118" s="547" t="str">
        <f>Help!$E$37</f>
        <v>Error and alert messages:</v>
      </c>
      <c r="D118" s="548"/>
      <c r="E118" s="549"/>
      <c r="F118" s="549"/>
      <c r="G118" s="549"/>
      <c r="H118" s="549"/>
      <c r="I118" s="549"/>
      <c r="J118" s="549"/>
      <c r="K118" s="549"/>
      <c r="L118" s="549"/>
      <c r="M118" s="549"/>
      <c r="N118" s="549"/>
      <c r="O118" s="549"/>
      <c r="P118" s="549"/>
      <c r="Q118" s="549"/>
      <c r="R118" s="541"/>
      <c r="S118" s="541"/>
      <c r="T118" s="541"/>
      <c r="U118" s="541"/>
      <c r="V118" s="541"/>
      <c r="W118" s="541"/>
      <c r="X118" s="541"/>
      <c r="Y118" s="541"/>
      <c r="Z118" s="541"/>
      <c r="AA118" s="541"/>
      <c r="AB118" s="541"/>
      <c r="AC118" s="541"/>
      <c r="AD118" s="541"/>
      <c r="AE118" s="541"/>
      <c r="AF118" s="541"/>
      <c r="AG118" s="541"/>
      <c r="AH118" s="541"/>
      <c r="AI118" s="541"/>
      <c r="AJ118" s="541"/>
      <c r="AK118" s="541"/>
      <c r="AL118" s="541"/>
      <c r="AM118" s="541"/>
      <c r="AN118" s="541"/>
      <c r="AO118" s="541"/>
      <c r="AP118" s="541"/>
    </row>
    <row r="119" spans="1:42" x14ac:dyDescent="0.2">
      <c r="A119" s="541"/>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c r="Z119" s="541"/>
      <c r="AA119" s="541"/>
      <c r="AB119" s="541"/>
      <c r="AC119" s="541"/>
      <c r="AD119" s="541"/>
      <c r="AE119" s="541"/>
      <c r="AF119" s="541"/>
      <c r="AG119" s="541"/>
      <c r="AH119" s="541"/>
      <c r="AI119" s="541"/>
      <c r="AJ119" s="541"/>
      <c r="AK119" s="541"/>
      <c r="AL119" s="541"/>
      <c r="AM119" s="541"/>
      <c r="AN119" s="541"/>
      <c r="AO119" s="541"/>
      <c r="AP119" s="541"/>
    </row>
    <row r="120" spans="1:42" x14ac:dyDescent="0.2">
      <c r="A120" s="541"/>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1"/>
      <c r="AL120" s="541"/>
      <c r="AM120" s="541"/>
      <c r="AN120" s="541"/>
      <c r="AO120" s="541"/>
      <c r="AP120" s="541"/>
    </row>
    <row r="121" spans="1:42" x14ac:dyDescent="0.2">
      <c r="A121" s="541"/>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row>
    <row r="122" spans="1:42" x14ac:dyDescent="0.2">
      <c r="A122" s="541"/>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row>
    <row r="123" spans="1:42" x14ac:dyDescent="0.2">
      <c r="A123" s="541"/>
      <c r="B123" s="541"/>
      <c r="C123" s="544"/>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row>
    <row r="124" spans="1:42" x14ac:dyDescent="0.2">
      <c r="A124" s="541"/>
      <c r="B124" s="541"/>
      <c r="C124" s="544"/>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1"/>
      <c r="AP124" s="541"/>
    </row>
    <row r="125" spans="1:42" x14ac:dyDescent="0.2">
      <c r="A125" s="541"/>
      <c r="B125" s="541"/>
      <c r="C125" s="544"/>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1"/>
      <c r="AP125" s="541"/>
    </row>
    <row r="126" spans="1:42" x14ac:dyDescent="0.2">
      <c r="A126" s="541"/>
      <c r="B126" s="541"/>
      <c r="C126" s="544"/>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1"/>
      <c r="AP126" s="541"/>
    </row>
    <row r="127" spans="1:42" x14ac:dyDescent="0.2">
      <c r="A127" s="541"/>
      <c r="B127" s="541"/>
      <c r="C127" s="544"/>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1"/>
      <c r="AP127" s="541"/>
    </row>
    <row r="128" spans="1:42" x14ac:dyDescent="0.2">
      <c r="A128" s="541"/>
      <c r="B128" s="541"/>
      <c r="C128" s="544"/>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1"/>
      <c r="AP128" s="541"/>
    </row>
    <row r="129" spans="1:42" x14ac:dyDescent="0.2">
      <c r="A129" s="541"/>
      <c r="B129" s="541"/>
      <c r="C129" s="544"/>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1"/>
      <c r="AP129" s="541"/>
    </row>
    <row r="130" spans="1:42" x14ac:dyDescent="0.2">
      <c r="A130" s="541"/>
      <c r="B130" s="541"/>
      <c r="C130" s="544"/>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row>
    <row r="131" spans="1:42" x14ac:dyDescent="0.2">
      <c r="A131" s="541"/>
      <c r="B131" s="541"/>
      <c r="C131" s="544"/>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row>
    <row r="132" spans="1:42" x14ac:dyDescent="0.2">
      <c r="A132" s="541"/>
      <c r="B132" s="541"/>
      <c r="C132" s="544"/>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1"/>
      <c r="AP132" s="541"/>
    </row>
    <row r="133" spans="1:42" x14ac:dyDescent="0.2">
      <c r="A133" s="541"/>
      <c r="B133" s="541"/>
      <c r="C133" s="544"/>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41"/>
      <c r="AL133" s="541"/>
      <c r="AM133" s="541"/>
      <c r="AN133" s="541"/>
      <c r="AO133" s="541"/>
      <c r="AP133" s="541"/>
    </row>
    <row r="134" spans="1:42" x14ac:dyDescent="0.2">
      <c r="A134" s="541"/>
      <c r="B134" s="541"/>
      <c r="C134" s="544"/>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1"/>
      <c r="AP134" s="541"/>
    </row>
    <row r="135" spans="1:42" x14ac:dyDescent="0.2">
      <c r="A135" s="541"/>
      <c r="B135" s="541"/>
      <c r="C135" s="544"/>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41"/>
      <c r="AK135" s="541"/>
      <c r="AL135" s="541"/>
      <c r="AM135" s="541"/>
      <c r="AN135" s="541"/>
      <c r="AO135" s="541"/>
      <c r="AP135" s="541"/>
    </row>
    <row r="136" spans="1:42" x14ac:dyDescent="0.2">
      <c r="A136" s="541"/>
      <c r="B136" s="541"/>
      <c r="C136" s="544"/>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541"/>
      <c r="AD136" s="541"/>
      <c r="AE136" s="541"/>
      <c r="AF136" s="541"/>
      <c r="AG136" s="541"/>
      <c r="AH136" s="541"/>
      <c r="AI136" s="541"/>
      <c r="AJ136" s="541"/>
      <c r="AK136" s="541"/>
      <c r="AL136" s="541"/>
      <c r="AM136" s="541"/>
      <c r="AN136" s="541"/>
      <c r="AO136" s="541"/>
      <c r="AP136" s="541"/>
    </row>
    <row r="137" spans="1:42" x14ac:dyDescent="0.2">
      <c r="A137" s="541"/>
      <c r="B137" s="541"/>
      <c r="C137" s="544"/>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541"/>
      <c r="AE137" s="541"/>
      <c r="AF137" s="541"/>
      <c r="AG137" s="541"/>
      <c r="AH137" s="541"/>
      <c r="AI137" s="541"/>
      <c r="AJ137" s="541"/>
      <c r="AK137" s="541"/>
      <c r="AL137" s="541"/>
      <c r="AM137" s="541"/>
      <c r="AN137" s="541"/>
      <c r="AO137" s="541"/>
      <c r="AP137" s="541"/>
    </row>
    <row r="138" spans="1:42" x14ac:dyDescent="0.2">
      <c r="A138" s="541"/>
      <c r="B138" s="541"/>
      <c r="C138" s="544"/>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1"/>
      <c r="AL138" s="541"/>
      <c r="AM138" s="541"/>
      <c r="AN138" s="541"/>
      <c r="AO138" s="541"/>
      <c r="AP138" s="541"/>
    </row>
    <row r="139" spans="1:42" x14ac:dyDescent="0.2">
      <c r="A139" s="541"/>
      <c r="B139" s="541"/>
      <c r="C139" s="544"/>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541"/>
      <c r="Z139" s="541"/>
      <c r="AA139" s="541"/>
      <c r="AB139" s="541"/>
      <c r="AC139" s="541"/>
      <c r="AD139" s="541"/>
      <c r="AE139" s="541"/>
      <c r="AF139" s="541"/>
      <c r="AG139" s="541"/>
      <c r="AH139" s="541"/>
      <c r="AI139" s="541"/>
      <c r="AJ139" s="541"/>
      <c r="AK139" s="541"/>
      <c r="AL139" s="541"/>
      <c r="AM139" s="541"/>
      <c r="AN139" s="541"/>
      <c r="AO139" s="541"/>
      <c r="AP139" s="541"/>
    </row>
    <row r="140" spans="1:42" x14ac:dyDescent="0.2">
      <c r="A140" s="541"/>
      <c r="B140" s="541"/>
      <c r="C140" s="544"/>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1"/>
      <c r="AL140" s="541"/>
      <c r="AM140" s="541"/>
      <c r="AN140" s="541"/>
      <c r="AO140" s="541"/>
      <c r="AP140" s="541"/>
    </row>
    <row r="141" spans="1:42" x14ac:dyDescent="0.2">
      <c r="A141" s="541"/>
      <c r="B141" s="541"/>
      <c r="C141" s="544"/>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41"/>
      <c r="AO141" s="541"/>
      <c r="AP141" s="541"/>
    </row>
    <row r="142" spans="1:42" x14ac:dyDescent="0.2">
      <c r="A142" s="541"/>
      <c r="B142" s="541"/>
      <c r="C142" s="544"/>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1"/>
      <c r="AP142" s="541"/>
    </row>
    <row r="143" spans="1:42" x14ac:dyDescent="0.2">
      <c r="A143" s="541"/>
      <c r="B143" s="541"/>
      <c r="C143" s="544"/>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c r="AI143" s="541"/>
      <c r="AJ143" s="541"/>
      <c r="AK143" s="541"/>
      <c r="AL143" s="541"/>
      <c r="AM143" s="541"/>
      <c r="AN143" s="541"/>
      <c r="AO143" s="541"/>
      <c r="AP143" s="541"/>
    </row>
    <row r="144" spans="1:42" x14ac:dyDescent="0.2">
      <c r="A144" s="541"/>
      <c r="B144" s="541"/>
      <c r="C144" s="544"/>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41"/>
      <c r="AE144" s="541"/>
      <c r="AF144" s="541"/>
      <c r="AG144" s="541"/>
      <c r="AH144" s="541"/>
      <c r="AI144" s="541"/>
      <c r="AJ144" s="541"/>
      <c r="AK144" s="541"/>
      <c r="AL144" s="541"/>
      <c r="AM144" s="541"/>
      <c r="AN144" s="541"/>
      <c r="AO144" s="541"/>
      <c r="AP144" s="541"/>
    </row>
    <row r="145" spans="1:42" x14ac:dyDescent="0.2">
      <c r="A145" s="541"/>
      <c r="B145" s="541"/>
      <c r="C145" s="544"/>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41"/>
      <c r="AP145" s="541"/>
    </row>
    <row r="146" spans="1:42" x14ac:dyDescent="0.2">
      <c r="A146" s="541"/>
      <c r="B146" s="541"/>
      <c r="C146" s="544"/>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41"/>
      <c r="AP146" s="541"/>
    </row>
    <row r="147" spans="1:42" x14ac:dyDescent="0.2">
      <c r="A147" s="541"/>
      <c r="B147" s="541"/>
      <c r="C147" s="544"/>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1"/>
      <c r="AL147" s="541"/>
      <c r="AM147" s="541"/>
      <c r="AN147" s="541"/>
      <c r="AO147" s="541"/>
      <c r="AP147" s="541"/>
    </row>
    <row r="148" spans="1:42" x14ac:dyDescent="0.2">
      <c r="A148" s="541"/>
      <c r="B148" s="541"/>
      <c r="C148" s="544"/>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1"/>
      <c r="AG148" s="541"/>
      <c r="AH148" s="541"/>
      <c r="AI148" s="541"/>
      <c r="AJ148" s="541"/>
      <c r="AK148" s="541"/>
      <c r="AL148" s="541"/>
      <c r="AM148" s="541"/>
      <c r="AN148" s="541"/>
      <c r="AO148" s="541"/>
      <c r="AP148" s="541"/>
    </row>
    <row r="149" spans="1:42" x14ac:dyDescent="0.2">
      <c r="A149" s="541"/>
      <c r="B149" s="541"/>
      <c r="C149" s="544"/>
      <c r="D149" s="541"/>
      <c r="E149" s="541"/>
      <c r="F149" s="541"/>
      <c r="G149" s="541"/>
      <c r="H149" s="541"/>
      <c r="I149" s="541"/>
      <c r="J149" s="541"/>
      <c r="K149" s="541"/>
      <c r="L149" s="541"/>
      <c r="M149" s="541"/>
      <c r="N149" s="541"/>
      <c r="O149" s="541"/>
      <c r="P149" s="541"/>
      <c r="Q149" s="541"/>
      <c r="R149" s="541"/>
      <c r="S149" s="541"/>
      <c r="T149" s="541"/>
      <c r="U149" s="541"/>
      <c r="V149" s="541"/>
      <c r="W149" s="541"/>
      <c r="X149" s="541"/>
      <c r="Y149" s="541"/>
      <c r="Z149" s="541"/>
      <c r="AA149" s="541"/>
      <c r="AB149" s="541"/>
      <c r="AC149" s="541"/>
      <c r="AD149" s="541"/>
      <c r="AE149" s="541"/>
      <c r="AF149" s="541"/>
      <c r="AG149" s="541"/>
      <c r="AH149" s="541"/>
      <c r="AI149" s="541"/>
      <c r="AJ149" s="541"/>
      <c r="AK149" s="541"/>
      <c r="AL149" s="541"/>
      <c r="AM149" s="541"/>
      <c r="AN149" s="541"/>
      <c r="AO149" s="541"/>
      <c r="AP149" s="541"/>
    </row>
    <row r="150" spans="1:42" x14ac:dyDescent="0.2">
      <c r="A150" s="541"/>
      <c r="B150" s="541"/>
      <c r="C150" s="544"/>
      <c r="D150" s="541"/>
      <c r="E150" s="541"/>
      <c r="F150" s="541"/>
      <c r="G150" s="541"/>
      <c r="H150" s="541"/>
      <c r="I150" s="541"/>
      <c r="J150" s="541"/>
      <c r="K150" s="541"/>
      <c r="L150" s="541"/>
      <c r="M150" s="541"/>
      <c r="N150" s="541"/>
      <c r="O150" s="541"/>
      <c r="P150" s="541"/>
      <c r="Q150" s="541"/>
      <c r="R150" s="541"/>
      <c r="S150" s="541"/>
      <c r="T150" s="541"/>
      <c r="U150" s="541"/>
      <c r="V150" s="541"/>
      <c r="W150" s="541"/>
      <c r="X150" s="541"/>
      <c r="Y150" s="541"/>
      <c r="Z150" s="541"/>
      <c r="AA150" s="541"/>
      <c r="AB150" s="541"/>
      <c r="AC150" s="541"/>
      <c r="AD150" s="541"/>
      <c r="AE150" s="541"/>
      <c r="AF150" s="541"/>
      <c r="AG150" s="541"/>
      <c r="AH150" s="541"/>
      <c r="AI150" s="541"/>
      <c r="AJ150" s="541"/>
      <c r="AK150" s="541"/>
      <c r="AL150" s="541"/>
      <c r="AM150" s="541"/>
      <c r="AN150" s="541"/>
      <c r="AO150" s="541"/>
      <c r="AP150" s="541"/>
    </row>
    <row r="151" spans="1:42" x14ac:dyDescent="0.2">
      <c r="A151" s="541"/>
      <c r="B151" s="541"/>
      <c r="C151" s="544"/>
      <c r="D151" s="541"/>
      <c r="E151" s="541"/>
      <c r="F151" s="541"/>
      <c r="G151" s="541"/>
      <c r="H151" s="541"/>
      <c r="I151" s="541"/>
      <c r="J151" s="541"/>
      <c r="K151" s="541"/>
      <c r="L151" s="541"/>
      <c r="M151" s="541"/>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1"/>
      <c r="AL151" s="541"/>
      <c r="AM151" s="541"/>
      <c r="AN151" s="541"/>
      <c r="AO151" s="541"/>
      <c r="AP151" s="541"/>
    </row>
    <row r="152" spans="1:42" x14ac:dyDescent="0.2">
      <c r="A152" s="541"/>
      <c r="B152" s="541"/>
      <c r="C152" s="544"/>
      <c r="D152" s="541"/>
      <c r="E152" s="541"/>
      <c r="F152" s="541"/>
      <c r="G152" s="541"/>
      <c r="H152" s="541"/>
      <c r="I152" s="541"/>
      <c r="J152" s="541"/>
      <c r="K152" s="541"/>
      <c r="L152" s="541"/>
      <c r="M152" s="541"/>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41"/>
      <c r="AK152" s="541"/>
      <c r="AL152" s="541"/>
      <c r="AM152" s="541"/>
      <c r="AN152" s="541"/>
      <c r="AO152" s="541"/>
      <c r="AP152" s="541"/>
    </row>
    <row r="153" spans="1:42" x14ac:dyDescent="0.2">
      <c r="A153" s="541"/>
      <c r="B153" s="541"/>
      <c r="C153" s="544"/>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41"/>
      <c r="AE153" s="541"/>
      <c r="AF153" s="541"/>
      <c r="AG153" s="541"/>
      <c r="AH153" s="541"/>
      <c r="AI153" s="541"/>
      <c r="AJ153" s="541"/>
      <c r="AK153" s="541"/>
      <c r="AL153" s="541"/>
      <c r="AM153" s="541"/>
      <c r="AN153" s="541"/>
      <c r="AO153" s="541"/>
      <c r="AP153" s="541"/>
    </row>
    <row r="154" spans="1:42" x14ac:dyDescent="0.2">
      <c r="A154" s="541"/>
      <c r="B154" s="541"/>
      <c r="C154" s="544"/>
      <c r="D154" s="541"/>
      <c r="E154" s="541"/>
      <c r="F154" s="541"/>
      <c r="G154" s="541"/>
      <c r="H154" s="541"/>
      <c r="I154" s="541"/>
      <c r="J154" s="541"/>
      <c r="K154" s="541"/>
      <c r="L154" s="541"/>
      <c r="M154" s="541"/>
      <c r="N154" s="541"/>
      <c r="O154" s="541"/>
      <c r="P154" s="541"/>
      <c r="Q154" s="541"/>
      <c r="R154" s="541"/>
      <c r="S154" s="541"/>
      <c r="T154" s="541"/>
      <c r="U154" s="541"/>
      <c r="V154" s="541"/>
      <c r="W154" s="541"/>
      <c r="X154" s="541"/>
      <c r="Y154" s="541"/>
      <c r="Z154" s="541"/>
      <c r="AA154" s="541"/>
      <c r="AB154" s="541"/>
      <c r="AC154" s="541"/>
      <c r="AD154" s="541"/>
      <c r="AE154" s="541"/>
      <c r="AF154" s="541"/>
      <c r="AG154" s="541"/>
      <c r="AH154" s="541"/>
      <c r="AI154" s="541"/>
      <c r="AJ154" s="541"/>
      <c r="AK154" s="541"/>
      <c r="AL154" s="541"/>
      <c r="AM154" s="541"/>
      <c r="AN154" s="541"/>
      <c r="AO154" s="541"/>
      <c r="AP154" s="541"/>
    </row>
    <row r="155" spans="1:42" x14ac:dyDescent="0.2">
      <c r="A155" s="541"/>
      <c r="B155" s="541"/>
      <c r="C155" s="546"/>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41"/>
      <c r="AE155" s="541"/>
      <c r="AF155" s="541"/>
      <c r="AG155" s="541"/>
      <c r="AH155" s="541"/>
      <c r="AI155" s="541"/>
      <c r="AJ155" s="541"/>
      <c r="AK155" s="541"/>
      <c r="AL155" s="541"/>
      <c r="AM155" s="541"/>
      <c r="AN155" s="541"/>
      <c r="AO155" s="541"/>
      <c r="AP155" s="541"/>
    </row>
    <row r="156" spans="1:42" x14ac:dyDescent="0.2">
      <c r="A156" s="541"/>
      <c r="B156" s="541"/>
      <c r="C156" s="546"/>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41"/>
      <c r="AE156" s="541"/>
      <c r="AF156" s="541"/>
      <c r="AG156" s="541"/>
      <c r="AH156" s="541"/>
      <c r="AI156" s="541"/>
      <c r="AJ156" s="541"/>
      <c r="AK156" s="541"/>
      <c r="AL156" s="541"/>
      <c r="AM156" s="541"/>
      <c r="AN156" s="541"/>
      <c r="AO156" s="541"/>
      <c r="AP156" s="541"/>
    </row>
    <row r="157" spans="1:42" x14ac:dyDescent="0.2">
      <c r="A157" s="541"/>
      <c r="B157" s="541"/>
      <c r="C157" s="546"/>
      <c r="D157" s="541"/>
      <c r="E157" s="541"/>
      <c r="F157" s="541"/>
      <c r="G157" s="541"/>
      <c r="H157" s="541"/>
      <c r="I157" s="541"/>
      <c r="J157" s="541"/>
      <c r="K157" s="541"/>
      <c r="L157" s="541"/>
      <c r="M157" s="541"/>
      <c r="N157" s="541"/>
      <c r="O157" s="541"/>
      <c r="P157" s="541"/>
      <c r="Q157" s="541"/>
      <c r="R157" s="541"/>
      <c r="S157" s="541"/>
      <c r="T157" s="541"/>
      <c r="U157" s="541"/>
      <c r="V157" s="541"/>
      <c r="W157" s="541"/>
      <c r="X157" s="541"/>
      <c r="Y157" s="541"/>
      <c r="Z157" s="541"/>
      <c r="AA157" s="541"/>
      <c r="AB157" s="541"/>
      <c r="AC157" s="541"/>
      <c r="AD157" s="541"/>
      <c r="AE157" s="541"/>
      <c r="AF157" s="541"/>
      <c r="AG157" s="541"/>
      <c r="AH157" s="541"/>
      <c r="AI157" s="541"/>
      <c r="AJ157" s="541"/>
      <c r="AK157" s="541"/>
      <c r="AL157" s="541"/>
      <c r="AM157" s="541"/>
      <c r="AN157" s="541"/>
      <c r="AO157" s="541"/>
      <c r="AP157" s="541"/>
    </row>
    <row r="158" spans="1:42" x14ac:dyDescent="0.2">
      <c r="A158" s="541"/>
      <c r="B158" s="541"/>
      <c r="C158" s="546"/>
      <c r="D158" s="541"/>
      <c r="E158" s="541"/>
      <c r="F158" s="541"/>
      <c r="G158" s="541"/>
      <c r="H158" s="541"/>
      <c r="I158" s="541"/>
      <c r="J158" s="541"/>
      <c r="K158" s="541"/>
      <c r="L158" s="541"/>
      <c r="M158" s="541"/>
      <c r="N158" s="541"/>
      <c r="O158" s="541"/>
      <c r="P158" s="541"/>
      <c r="Q158" s="541"/>
      <c r="R158" s="541"/>
      <c r="S158" s="541"/>
      <c r="T158" s="541"/>
      <c r="U158" s="541"/>
      <c r="V158" s="541"/>
      <c r="W158" s="541"/>
      <c r="X158" s="541"/>
      <c r="Y158" s="541"/>
      <c r="Z158" s="541"/>
      <c r="AA158" s="541"/>
      <c r="AB158" s="541"/>
      <c r="AC158" s="541"/>
      <c r="AD158" s="541"/>
      <c r="AE158" s="541"/>
      <c r="AF158" s="541"/>
      <c r="AG158" s="541"/>
      <c r="AH158" s="541"/>
      <c r="AI158" s="541"/>
      <c r="AJ158" s="541"/>
      <c r="AK158" s="541"/>
      <c r="AL158" s="541"/>
      <c r="AM158" s="541"/>
      <c r="AN158" s="541"/>
      <c r="AO158" s="541"/>
      <c r="AP158" s="541"/>
    </row>
    <row r="159" spans="1:42" x14ac:dyDescent="0.2">
      <c r="A159" s="541"/>
      <c r="B159" s="541"/>
      <c r="C159" s="546"/>
      <c r="D159" s="541"/>
      <c r="E159" s="541"/>
      <c r="F159" s="541"/>
      <c r="G159" s="541"/>
      <c r="H159" s="541"/>
      <c r="I159" s="541"/>
      <c r="J159" s="541"/>
      <c r="K159" s="541"/>
      <c r="L159" s="541"/>
      <c r="M159" s="541"/>
      <c r="N159" s="541"/>
      <c r="O159" s="541"/>
      <c r="P159" s="541"/>
      <c r="Q159" s="541"/>
      <c r="R159" s="541"/>
      <c r="S159" s="541"/>
      <c r="T159" s="541"/>
      <c r="U159" s="541"/>
      <c r="V159" s="541"/>
      <c r="W159" s="541"/>
      <c r="X159" s="541"/>
      <c r="Y159" s="541"/>
      <c r="Z159" s="541"/>
      <c r="AA159" s="541"/>
      <c r="AB159" s="541"/>
      <c r="AC159" s="541"/>
      <c r="AD159" s="541"/>
      <c r="AE159" s="541"/>
      <c r="AF159" s="541"/>
      <c r="AG159" s="541"/>
      <c r="AH159" s="541"/>
      <c r="AI159" s="541"/>
      <c r="AJ159" s="541"/>
      <c r="AK159" s="541"/>
      <c r="AL159" s="541"/>
      <c r="AM159" s="541"/>
      <c r="AN159" s="541"/>
      <c r="AO159" s="541"/>
      <c r="AP159" s="541"/>
    </row>
    <row r="160" spans="1:42" x14ac:dyDescent="0.2">
      <c r="A160" s="541"/>
      <c r="B160" s="541"/>
      <c r="C160" s="546"/>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541"/>
      <c r="AF160" s="541"/>
      <c r="AG160" s="541"/>
      <c r="AH160" s="541"/>
      <c r="AI160" s="541"/>
      <c r="AJ160" s="541"/>
      <c r="AK160" s="541"/>
      <c r="AL160" s="541"/>
      <c r="AM160" s="541"/>
      <c r="AN160" s="541"/>
      <c r="AO160" s="541"/>
      <c r="AP160" s="541"/>
    </row>
    <row r="161" spans="1:42" x14ac:dyDescent="0.2">
      <c r="A161" s="541"/>
      <c r="B161" s="541"/>
      <c r="C161" s="541"/>
      <c r="D161" s="541"/>
      <c r="E161" s="541"/>
      <c r="F161" s="541"/>
      <c r="G161" s="541"/>
      <c r="H161" s="541"/>
      <c r="I161" s="541"/>
      <c r="J161" s="541"/>
      <c r="K161" s="541"/>
      <c r="L161" s="541"/>
      <c r="M161" s="541"/>
      <c r="N161" s="541"/>
      <c r="O161" s="541"/>
      <c r="P161" s="541"/>
      <c r="Q161" s="541"/>
      <c r="R161" s="541"/>
      <c r="S161" s="541"/>
      <c r="T161" s="541"/>
      <c r="U161" s="541"/>
      <c r="V161" s="541"/>
      <c r="W161" s="541"/>
      <c r="X161" s="541"/>
      <c r="Y161" s="541"/>
      <c r="Z161" s="541"/>
      <c r="AA161" s="541"/>
      <c r="AB161" s="541"/>
      <c r="AC161" s="541"/>
      <c r="AD161" s="541"/>
      <c r="AE161" s="541"/>
      <c r="AF161" s="541"/>
      <c r="AG161" s="541"/>
      <c r="AH161" s="541"/>
      <c r="AI161" s="541"/>
      <c r="AJ161" s="541"/>
      <c r="AK161" s="541"/>
      <c r="AL161" s="541"/>
      <c r="AM161" s="541"/>
      <c r="AN161" s="541"/>
      <c r="AO161" s="541"/>
      <c r="AP161" s="541"/>
    </row>
    <row r="162" spans="1:42" x14ac:dyDescent="0.2">
      <c r="A162" s="541"/>
      <c r="B162" s="541"/>
      <c r="C162" s="541"/>
      <c r="D162" s="541"/>
      <c r="E162" s="541"/>
      <c r="F162" s="541"/>
      <c r="G162" s="541"/>
      <c r="H162" s="541"/>
      <c r="I162" s="541"/>
      <c r="J162" s="541"/>
      <c r="K162" s="541"/>
      <c r="L162" s="541"/>
      <c r="M162" s="541"/>
      <c r="N162" s="541"/>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1"/>
      <c r="AL162" s="541"/>
      <c r="AM162" s="541"/>
      <c r="AN162" s="541"/>
      <c r="AO162" s="541"/>
      <c r="AP162" s="541"/>
    </row>
    <row r="163" spans="1:42" x14ac:dyDescent="0.2">
      <c r="A163" s="541"/>
      <c r="B163" s="541"/>
      <c r="C163" s="541"/>
      <c r="D163" s="541"/>
      <c r="E163" s="541"/>
      <c r="F163" s="541"/>
      <c r="G163" s="541"/>
      <c r="H163" s="541"/>
      <c r="I163" s="541"/>
      <c r="J163" s="541"/>
      <c r="K163" s="541"/>
      <c r="L163" s="541"/>
      <c r="M163" s="541"/>
      <c r="N163" s="541"/>
      <c r="O163" s="541"/>
      <c r="P163" s="541"/>
      <c r="Q163" s="541"/>
      <c r="R163" s="541"/>
      <c r="S163" s="541"/>
      <c r="T163" s="541"/>
      <c r="U163" s="541"/>
      <c r="V163" s="541"/>
      <c r="W163" s="541"/>
      <c r="X163" s="541"/>
      <c r="Y163" s="541"/>
      <c r="Z163" s="541"/>
      <c r="AA163" s="541"/>
      <c r="AB163" s="541"/>
      <c r="AC163" s="541"/>
      <c r="AD163" s="541"/>
      <c r="AE163" s="541"/>
      <c r="AF163" s="541"/>
      <c r="AG163" s="541"/>
      <c r="AH163" s="541"/>
      <c r="AI163" s="541"/>
      <c r="AJ163" s="541"/>
      <c r="AK163" s="541"/>
      <c r="AL163" s="541"/>
      <c r="AM163" s="541"/>
      <c r="AN163" s="541"/>
      <c r="AO163" s="541"/>
      <c r="AP163" s="541"/>
    </row>
    <row r="164" spans="1:42" x14ac:dyDescent="0.2">
      <c r="A164" s="541"/>
      <c r="B164" s="541"/>
      <c r="C164" s="541"/>
      <c r="D164" s="541"/>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C164" s="541"/>
      <c r="AD164" s="541"/>
      <c r="AE164" s="541"/>
      <c r="AF164" s="541"/>
      <c r="AG164" s="541"/>
      <c r="AH164" s="541"/>
      <c r="AI164" s="541"/>
      <c r="AJ164" s="541"/>
      <c r="AK164" s="541"/>
      <c r="AL164" s="541"/>
      <c r="AM164" s="541"/>
      <c r="AN164" s="541"/>
      <c r="AO164" s="541"/>
      <c r="AP164" s="541"/>
    </row>
    <row r="165" spans="1:42" x14ac:dyDescent="0.2">
      <c r="A165" s="541"/>
      <c r="B165" s="541"/>
      <c r="C165" s="541"/>
      <c r="D165" s="541"/>
      <c r="E165" s="541"/>
      <c r="F165" s="541"/>
      <c r="G165" s="541"/>
      <c r="H165" s="541"/>
      <c r="I165" s="541"/>
      <c r="J165" s="541"/>
      <c r="K165" s="541"/>
      <c r="L165" s="541"/>
      <c r="M165" s="541"/>
      <c r="N165" s="541"/>
      <c r="O165" s="541"/>
      <c r="P165" s="541"/>
      <c r="Q165" s="541"/>
      <c r="R165" s="541"/>
      <c r="S165" s="541"/>
      <c r="T165" s="541"/>
      <c r="U165" s="541"/>
      <c r="V165" s="541"/>
      <c r="W165" s="541"/>
      <c r="X165" s="541"/>
      <c r="Y165" s="541"/>
      <c r="Z165" s="541"/>
      <c r="AA165" s="541"/>
      <c r="AB165" s="541"/>
      <c r="AC165" s="541"/>
      <c r="AD165" s="541"/>
      <c r="AE165" s="541"/>
      <c r="AF165" s="541"/>
      <c r="AG165" s="541"/>
      <c r="AH165" s="541"/>
      <c r="AI165" s="541"/>
      <c r="AJ165" s="541"/>
      <c r="AK165" s="541"/>
      <c r="AL165" s="541"/>
      <c r="AM165" s="541"/>
      <c r="AN165" s="541"/>
      <c r="AO165" s="541"/>
      <c r="AP165" s="541"/>
    </row>
    <row r="166" spans="1:42" x14ac:dyDescent="0.2">
      <c r="A166" s="541"/>
      <c r="B166" s="541"/>
      <c r="C166" s="541"/>
      <c r="D166" s="541"/>
      <c r="E166" s="541"/>
      <c r="F166" s="541"/>
      <c r="G166" s="541"/>
      <c r="H166" s="541"/>
      <c r="I166" s="541"/>
      <c r="J166" s="541"/>
      <c r="K166" s="541"/>
      <c r="L166" s="541"/>
      <c r="M166" s="541"/>
      <c r="N166" s="541"/>
      <c r="O166" s="541"/>
      <c r="P166" s="541"/>
      <c r="Q166" s="541"/>
      <c r="R166" s="541"/>
      <c r="S166" s="541"/>
      <c r="T166" s="541"/>
      <c r="U166" s="541"/>
      <c r="V166" s="541"/>
      <c r="W166" s="541"/>
      <c r="X166" s="541"/>
      <c r="Y166" s="541"/>
      <c r="Z166" s="541"/>
      <c r="AA166" s="541"/>
      <c r="AB166" s="541"/>
      <c r="AC166" s="541"/>
      <c r="AD166" s="541"/>
      <c r="AE166" s="541"/>
      <c r="AF166" s="541"/>
      <c r="AG166" s="541"/>
      <c r="AH166" s="541"/>
      <c r="AI166" s="541"/>
      <c r="AJ166" s="541"/>
      <c r="AK166" s="541"/>
      <c r="AL166" s="541"/>
      <c r="AM166" s="541"/>
      <c r="AN166" s="541"/>
      <c r="AO166" s="541"/>
      <c r="AP166" s="541"/>
    </row>
    <row r="167" spans="1:42" x14ac:dyDescent="0.2">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row>
    <row r="168" spans="1:42" x14ac:dyDescent="0.2">
      <c r="A168" s="541"/>
      <c r="B168" s="541"/>
      <c r="C168" s="541"/>
      <c r="D168" s="541"/>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541"/>
      <c r="AD168" s="541"/>
      <c r="AE168" s="541"/>
      <c r="AF168" s="541"/>
      <c r="AG168" s="541"/>
      <c r="AH168" s="541"/>
      <c r="AI168" s="541"/>
      <c r="AJ168" s="541"/>
      <c r="AK168" s="541"/>
      <c r="AL168" s="541"/>
      <c r="AM168" s="541"/>
      <c r="AN168" s="541"/>
      <c r="AO168" s="541"/>
      <c r="AP168" s="541"/>
    </row>
    <row r="169" spans="1:42" x14ac:dyDescent="0.2">
      <c r="A169" s="541"/>
      <c r="B169" s="541"/>
      <c r="C169" s="541"/>
      <c r="D169" s="541"/>
      <c r="E169" s="541"/>
      <c r="F169" s="541"/>
      <c r="G169" s="541"/>
      <c r="H169" s="541"/>
      <c r="I169" s="541"/>
      <c r="J169" s="541"/>
      <c r="K169" s="541"/>
      <c r="L169" s="541"/>
      <c r="M169" s="541"/>
      <c r="N169" s="541"/>
      <c r="O169" s="541"/>
      <c r="P169" s="541"/>
      <c r="Q169" s="541"/>
      <c r="R169" s="541"/>
      <c r="S169" s="541"/>
      <c r="T169" s="541"/>
      <c r="U169" s="541"/>
      <c r="V169" s="541"/>
      <c r="W169" s="541"/>
      <c r="X169" s="541"/>
      <c r="Y169" s="541"/>
      <c r="Z169" s="541"/>
      <c r="AA169" s="541"/>
      <c r="AB169" s="541"/>
      <c r="AC169" s="541"/>
      <c r="AD169" s="541"/>
      <c r="AE169" s="541"/>
      <c r="AF169" s="541"/>
      <c r="AG169" s="541"/>
      <c r="AH169" s="541"/>
      <c r="AI169" s="541"/>
      <c r="AJ169" s="541"/>
      <c r="AK169" s="541"/>
      <c r="AL169" s="541"/>
      <c r="AM169" s="541"/>
      <c r="AN169" s="541"/>
      <c r="AO169" s="541"/>
      <c r="AP169" s="541"/>
    </row>
    <row r="170" spans="1:42" x14ac:dyDescent="0.2">
      <c r="A170" s="541"/>
      <c r="B170" s="541"/>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1"/>
      <c r="AL170" s="541"/>
      <c r="AM170" s="541"/>
      <c r="AN170" s="541"/>
      <c r="AO170" s="541"/>
      <c r="AP170" s="541"/>
    </row>
    <row r="171" spans="1:42" x14ac:dyDescent="0.2">
      <c r="A171" s="541"/>
      <c r="B171" s="541"/>
      <c r="C171" s="541"/>
      <c r="D171" s="541"/>
      <c r="E171" s="541"/>
      <c r="F171" s="541"/>
      <c r="G171" s="541"/>
      <c r="H171" s="541"/>
      <c r="I171" s="541"/>
      <c r="J171" s="541"/>
      <c r="K171" s="541"/>
      <c r="L171" s="541"/>
      <c r="M171" s="541"/>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41"/>
      <c r="AK171" s="541"/>
      <c r="AL171" s="541"/>
      <c r="AM171" s="541"/>
      <c r="AN171" s="541"/>
      <c r="AO171" s="541"/>
      <c r="AP171" s="541"/>
    </row>
    <row r="172" spans="1:42" x14ac:dyDescent="0.2">
      <c r="A172" s="541"/>
      <c r="B172" s="541"/>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41"/>
      <c r="AK172" s="541"/>
      <c r="AL172" s="541"/>
      <c r="AM172" s="541"/>
      <c r="AN172" s="541"/>
      <c r="AO172" s="541"/>
      <c r="AP172" s="541"/>
    </row>
    <row r="173" spans="1:42" x14ac:dyDescent="0.2">
      <c r="A173" s="541"/>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c r="Z173" s="541"/>
      <c r="AA173" s="541"/>
      <c r="AB173" s="541"/>
      <c r="AC173" s="541"/>
      <c r="AD173" s="541"/>
      <c r="AE173" s="541"/>
      <c r="AF173" s="541"/>
      <c r="AG173" s="541"/>
      <c r="AH173" s="541"/>
      <c r="AI173" s="541"/>
      <c r="AJ173" s="541"/>
      <c r="AK173" s="541"/>
      <c r="AL173" s="541"/>
      <c r="AM173" s="541"/>
      <c r="AN173" s="541"/>
      <c r="AO173" s="541"/>
      <c r="AP173" s="541"/>
    </row>
    <row r="174" spans="1:42" x14ac:dyDescent="0.2">
      <c r="A174" s="541"/>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1"/>
      <c r="AL174" s="541"/>
      <c r="AM174" s="541"/>
      <c r="AN174" s="541"/>
      <c r="AO174" s="541"/>
      <c r="AP174" s="541"/>
    </row>
    <row r="175" spans="1:42" x14ac:dyDescent="0.2">
      <c r="A175" s="541"/>
      <c r="B175" s="541"/>
      <c r="C175" s="541"/>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541"/>
      <c r="Z175" s="541"/>
      <c r="AA175" s="541"/>
      <c r="AB175" s="541"/>
      <c r="AC175" s="541"/>
      <c r="AD175" s="541"/>
      <c r="AE175" s="541"/>
      <c r="AF175" s="541"/>
      <c r="AG175" s="541"/>
      <c r="AH175" s="541"/>
      <c r="AI175" s="541"/>
      <c r="AJ175" s="541"/>
      <c r="AK175" s="541"/>
      <c r="AL175" s="541"/>
      <c r="AM175" s="541"/>
      <c r="AN175" s="541"/>
      <c r="AO175" s="541"/>
      <c r="AP175" s="541"/>
    </row>
    <row r="176" spans="1:42" x14ac:dyDescent="0.2">
      <c r="A176" s="541"/>
      <c r="B176" s="541"/>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541"/>
      <c r="AF176" s="541"/>
      <c r="AG176" s="541"/>
      <c r="AH176" s="541"/>
      <c r="AI176" s="541"/>
      <c r="AJ176" s="541"/>
      <c r="AK176" s="541"/>
      <c r="AL176" s="541"/>
      <c r="AM176" s="541"/>
      <c r="AN176" s="541"/>
      <c r="AO176" s="541"/>
      <c r="AP176" s="541"/>
    </row>
    <row r="177" spans="1:42" x14ac:dyDescent="0.2">
      <c r="A177" s="541"/>
      <c r="B177" s="541"/>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541"/>
      <c r="AH177" s="541"/>
      <c r="AI177" s="541"/>
      <c r="AJ177" s="541"/>
      <c r="AK177" s="541"/>
      <c r="AL177" s="541"/>
      <c r="AM177" s="541"/>
      <c r="AN177" s="541"/>
      <c r="AO177" s="541"/>
      <c r="AP177" s="541"/>
    </row>
    <row r="178" spans="1:42" x14ac:dyDescent="0.2">
      <c r="A178" s="541"/>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541"/>
      <c r="AH178" s="541"/>
      <c r="AI178" s="541"/>
      <c r="AJ178" s="541"/>
      <c r="AK178" s="541"/>
      <c r="AL178" s="541"/>
      <c r="AM178" s="541"/>
      <c r="AN178" s="541"/>
      <c r="AO178" s="541"/>
      <c r="AP178" s="541"/>
    </row>
    <row r="179" spans="1:42" x14ac:dyDescent="0.2">
      <c r="A179" s="541"/>
      <c r="B179" s="541"/>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541"/>
      <c r="AH179" s="541"/>
      <c r="AI179" s="541"/>
      <c r="AJ179" s="541"/>
      <c r="AK179" s="541"/>
      <c r="AL179" s="541"/>
      <c r="AM179" s="541"/>
      <c r="AN179" s="541"/>
      <c r="AO179" s="541"/>
      <c r="AP179" s="541"/>
    </row>
    <row r="180" spans="1:42" x14ac:dyDescent="0.2">
      <c r="A180" s="541"/>
      <c r="B180" s="541"/>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541"/>
      <c r="AH180" s="541"/>
      <c r="AI180" s="541"/>
      <c r="AJ180" s="541"/>
      <c r="AK180" s="541"/>
      <c r="AL180" s="541"/>
      <c r="AM180" s="541"/>
      <c r="AN180" s="541"/>
      <c r="AO180" s="541"/>
      <c r="AP180" s="541"/>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CU282"/>
  <sheetViews>
    <sheetView showGridLines="0" showRowColHeaders="0" tabSelected="1" showOutlineSymbols="0" topLeftCell="A17" zoomScale="130" zoomScaleNormal="130" workbookViewId="0">
      <selection activeCell="B20" sqref="B20:N20"/>
    </sheetView>
  </sheetViews>
  <sheetFormatPr defaultRowHeight="12.75" outlineLevelRow="1" outlineLevelCol="1" x14ac:dyDescent="0.2"/>
  <cols>
    <col min="1" max="1" width="1.7109375" customWidth="1"/>
    <col min="2" max="2" width="2.42578125" customWidth="1"/>
    <col min="3" max="3" width="3.42578125" customWidth="1"/>
    <col min="4" max="4" width="7.85546875" customWidth="1"/>
    <col min="5" max="5" width="14.42578125" customWidth="1"/>
    <col min="6" max="13" width="7.7109375" customWidth="1"/>
    <col min="14" max="14" width="6.7109375" customWidth="1"/>
    <col min="15" max="15" width="5.140625" customWidth="1"/>
    <col min="16" max="16" width="5.7109375" customWidth="1"/>
    <col min="17" max="19" width="6.7109375" customWidth="1"/>
    <col min="20" max="20" width="13.5703125" customWidth="1"/>
    <col min="21" max="21" width="1.7109375" customWidth="1"/>
    <col min="22" max="22" width="1.85546875" customWidth="1"/>
    <col min="23" max="24" width="1.5703125" hidden="1" customWidth="1"/>
    <col min="25" max="27" width="5.7109375" hidden="1" customWidth="1" outlineLevel="1"/>
    <col min="28" max="28" width="1.7109375" hidden="1" customWidth="1" outlineLevel="1"/>
    <col min="29" max="31" width="5.7109375" hidden="1" customWidth="1" outlineLevel="1"/>
    <col min="32" max="32" width="7" hidden="1" customWidth="1" outlineLevel="1"/>
    <col min="33" max="34" width="6.140625" hidden="1" customWidth="1" outlineLevel="1"/>
    <col min="35" max="35" width="5.7109375" hidden="1" customWidth="1" outlineLevel="1"/>
    <col min="36" max="37" width="6.140625" hidden="1" customWidth="1" outlineLevel="1"/>
    <col min="38" max="39" width="12.7109375" hidden="1" customWidth="1" outlineLevel="1"/>
    <col min="40" max="40" width="6.5703125" hidden="1" customWidth="1" outlineLevel="1"/>
    <col min="41" max="41" width="6.42578125" hidden="1" customWidth="1" outlineLevel="1"/>
    <col min="42" max="42" width="7.140625" hidden="1" customWidth="1" outlineLevel="1"/>
    <col min="43" max="45" width="6.42578125" hidden="1" customWidth="1" outlineLevel="1"/>
    <col min="46" max="46" width="7.42578125" hidden="1" customWidth="1" outlineLevel="1"/>
    <col min="47" max="47" width="6.5703125" hidden="1" customWidth="1" outlineLevel="1"/>
    <col min="48" max="48" width="5.7109375" hidden="1" customWidth="1" outlineLevel="1"/>
    <col min="49" max="49" width="6.85546875" hidden="1" customWidth="1" outlineLevel="1"/>
    <col min="50" max="50" width="6.7109375" hidden="1" customWidth="1" outlineLevel="1"/>
    <col min="51" max="51" width="51.28515625" hidden="1" customWidth="1" outlineLevel="1"/>
    <col min="52" max="55" width="6.85546875" hidden="1" customWidth="1" outlineLevel="1"/>
    <col min="56" max="56" width="1.7109375" hidden="1" customWidth="1" collapsed="1"/>
    <col min="57" max="71" width="6.7109375" hidden="1" customWidth="1" outlineLevel="1"/>
    <col min="72" max="72" width="1.7109375" hidden="1" customWidth="1" outlineLevel="1"/>
    <col min="73" max="73" width="8.85546875" hidden="1" customWidth="1" outlineLevel="1"/>
    <col min="74" max="74" width="8.140625" hidden="1" customWidth="1" outlineLevel="1"/>
    <col min="75" max="75" width="6.7109375" hidden="1" customWidth="1" outlineLevel="1"/>
    <col min="76" max="77" width="8" hidden="1" customWidth="1" outlineLevel="1"/>
    <col min="78" max="78" width="1.7109375" hidden="1" customWidth="1" outlineLevel="1"/>
    <col min="79" max="80" width="9.140625" hidden="1" customWidth="1" outlineLevel="1"/>
    <col min="81" max="81" width="6.85546875" hidden="1" customWidth="1" outlineLevel="1"/>
    <col min="82" max="82" width="13.140625" hidden="1" customWidth="1" outlineLevel="1"/>
    <col min="83" max="83" width="1.7109375" hidden="1" customWidth="1" outlineLevel="1"/>
    <col min="84" max="84" width="5.85546875" hidden="1" customWidth="1" collapsed="1"/>
  </cols>
  <sheetData>
    <row r="1" spans="1:99" hidden="1" outlineLevel="1" x14ac:dyDescent="0.2">
      <c r="A1" s="10"/>
      <c r="B1" s="87" t="s">
        <v>77</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row>
    <row r="2" spans="1:99" hidden="1" outlineLevel="1" x14ac:dyDescent="0.2">
      <c r="A2" s="10"/>
      <c r="B2" s="66" t="s">
        <v>400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1:99" hidden="1" outlineLevel="1" x14ac:dyDescent="0.2">
      <c r="A3" s="10"/>
      <c r="B3" s="66" t="s">
        <v>78</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1:99" hidden="1" outlineLevel="1" x14ac:dyDescent="0.2">
      <c r="A4" s="10"/>
      <c r="B4" s="66" t="s">
        <v>104</v>
      </c>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1:99" hidden="1" outlineLevel="1" x14ac:dyDescent="0.2">
      <c r="A5" s="10"/>
      <c r="B5" s="66"/>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1:99" hidden="1" outlineLevel="1" x14ac:dyDescent="0.2">
      <c r="A6" s="10"/>
      <c r="B6" s="66" t="s">
        <v>379</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1:99" hidden="1" outlineLevel="1" x14ac:dyDescent="0.2">
      <c r="A7" s="10"/>
      <c r="B7" s="66" t="s">
        <v>93</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1:99" hidden="1" outlineLevel="1" x14ac:dyDescent="0.2">
      <c r="A8" s="10"/>
      <c r="B8" s="66" t="s">
        <v>128</v>
      </c>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1:99" hidden="1" outlineLevel="1" x14ac:dyDescent="0.2">
      <c r="A9" s="10"/>
      <c r="B9" s="66" t="s">
        <v>129</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1:99" hidden="1" outlineLevel="1" x14ac:dyDescent="0.2">
      <c r="A10" s="10"/>
      <c r="B10" s="66" t="s">
        <v>94</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1:99" hidden="1" outlineLevel="1" x14ac:dyDescent="0.2">
      <c r="A11" s="10"/>
      <c r="B11" s="66"/>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1:99" hidden="1" outlineLevel="1" x14ac:dyDescent="0.2">
      <c r="A12" s="10"/>
      <c r="B12" s="66" t="s">
        <v>95</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1:99" hidden="1" outlineLevel="1" x14ac:dyDescent="0.2">
      <c r="A13" s="66"/>
      <c r="B13" s="66"/>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1:99" hidden="1" outlineLevel="1" x14ac:dyDescent="0.2">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67"/>
      <c r="AX14" s="67"/>
      <c r="AY14" s="67"/>
      <c r="AZ14" s="67"/>
      <c r="BA14" s="67"/>
      <c r="BB14" s="67"/>
      <c r="BC14" s="67"/>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1:99" hidden="1" outlineLevel="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67"/>
      <c r="AX15" s="67"/>
      <c r="AY15" s="67"/>
      <c r="AZ15" s="67"/>
      <c r="BA15" s="67"/>
      <c r="BB15" s="67"/>
      <c r="BC15" s="67"/>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1:99" hidden="1" outlineLevel="1" x14ac:dyDescent="0.2">
      <c r="A16" s="11"/>
      <c r="B16" s="11"/>
      <c r="C16" s="11"/>
      <c r="D16" s="11"/>
      <c r="E16" s="11"/>
      <c r="F16" s="11"/>
      <c r="G16" s="11"/>
      <c r="H16" s="11"/>
      <c r="I16" s="11"/>
      <c r="J16" s="11"/>
      <c r="K16" s="11"/>
      <c r="L16" s="11"/>
      <c r="M16" s="11"/>
      <c r="N16" s="11"/>
      <c r="O16" s="11"/>
      <c r="P16" s="11"/>
      <c r="Q16" s="11"/>
      <c r="R16" s="11"/>
      <c r="S16" s="11"/>
      <c r="T16" s="11"/>
      <c r="U16" s="11"/>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1:99" ht="25.5" collapsed="1" x14ac:dyDescent="0.35">
      <c r="A17" s="122"/>
      <c r="B17" s="534" t="s">
        <v>407</v>
      </c>
      <c r="C17" s="5"/>
      <c r="D17" s="5"/>
      <c r="E17" s="5"/>
      <c r="F17" s="6"/>
      <c r="G17" s="6"/>
      <c r="H17" s="6"/>
      <c r="I17" s="6"/>
      <c r="J17" s="6"/>
      <c r="K17" s="6"/>
      <c r="L17" s="6"/>
      <c r="M17" s="6"/>
      <c r="N17" s="6"/>
      <c r="O17" s="6"/>
      <c r="P17" s="6"/>
      <c r="Q17" s="6"/>
      <c r="R17" s="6"/>
      <c r="S17" s="117"/>
      <c r="T17" s="6"/>
      <c r="U17" s="11"/>
      <c r="V17" s="12"/>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74" t="s">
        <v>79</v>
      </c>
      <c r="BF17" s="73"/>
      <c r="BG17" s="73"/>
      <c r="BH17" s="73"/>
      <c r="BI17" s="73"/>
      <c r="BJ17" s="73"/>
      <c r="BK17" s="73"/>
      <c r="BL17" s="73"/>
      <c r="BM17" s="73"/>
      <c r="BN17" s="73"/>
      <c r="BO17" s="73"/>
      <c r="BP17" s="73"/>
      <c r="BQ17" s="73"/>
      <c r="BR17" s="73"/>
      <c r="BS17" s="73"/>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1:99" ht="6" customHeight="1" x14ac:dyDescent="0.2">
      <c r="A18" s="11"/>
      <c r="B18" s="11"/>
      <c r="U18" s="11"/>
      <c r="V18" s="12"/>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1:99" ht="13.5" thickBot="1" x14ac:dyDescent="0.25">
      <c r="A19" s="483" t="str">
        <f>IF(AND(F145=FALSE,F146=FALSE),"Building name/description","ENTER BUILDING NAME AND DESCRIPTION BELOW")</f>
        <v>ENTER BUILDING NAME AND DESCRIPTION BELOW</v>
      </c>
      <c r="B19" s="553" t="str">
        <f>IF(AND(F145=FALSE,F146=FALSE),"Building name/description","ENTER BUILDING NAME AND DESCRIPTION BELOW"&amp;IF(F145=TRUE," - identifying the particular part(s) covered by this assessment",""))</f>
        <v>ENTER BUILDING NAME AND DESCRIPTION BELOW - identifying the particular part(s) covered by this assessment</v>
      </c>
      <c r="O19" s="11"/>
      <c r="P19" s="553" t="str">
        <f>IF(AND(F147=FALSE,F148=FALSE),"Application","SELECT APPLICATION BELOW")</f>
        <v>Application</v>
      </c>
      <c r="T19" s="554" t="str">
        <f>IF(AND(F149=FALSE,NoZoneTableActive=FALSE),"Climate zone","ENTER ZONE BELOW")</f>
        <v>Climate zone</v>
      </c>
      <c r="U19" s="11"/>
      <c r="V19" s="12"/>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3" t="s">
        <v>98</v>
      </c>
      <c r="BF19" s="10"/>
      <c r="BG19" s="10"/>
      <c r="BH19" s="10"/>
      <c r="BI19" s="10"/>
      <c r="BJ19" s="10"/>
      <c r="BK19" s="103" t="s">
        <v>99</v>
      </c>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1:99" ht="13.5" thickBot="1" x14ac:dyDescent="0.25">
      <c r="A20" s="11"/>
      <c r="B20" s="623"/>
      <c r="C20" s="624"/>
      <c r="D20" s="624"/>
      <c r="E20" s="624"/>
      <c r="F20" s="624"/>
      <c r="G20" s="624"/>
      <c r="H20" s="624"/>
      <c r="I20" s="624"/>
      <c r="J20" s="624"/>
      <c r="K20" s="624"/>
      <c r="L20" s="624"/>
      <c r="M20" s="624"/>
      <c r="N20" s="625"/>
      <c r="P20" s="626"/>
      <c r="Q20" s="627"/>
      <c r="R20" s="628"/>
      <c r="S20" s="121"/>
      <c r="T20" s="573"/>
      <c r="U20" s="353"/>
      <c r="V20" s="12"/>
      <c r="W20" s="10"/>
      <c r="X20" s="10"/>
      <c r="Y20" s="72" t="s">
        <v>348</v>
      </c>
      <c r="Z20" s="73"/>
      <c r="AA20" s="73"/>
      <c r="AB20" s="73"/>
      <c r="AC20" s="73"/>
      <c r="AD20" s="73"/>
      <c r="AE20" s="73"/>
      <c r="AF20" s="73"/>
      <c r="AG20" s="73"/>
      <c r="AH20" s="73"/>
      <c r="AI20" s="73"/>
      <c r="AJ20" s="73"/>
      <c r="AK20" s="73"/>
      <c r="AL20" s="10"/>
      <c r="AM20" s="10"/>
      <c r="AN20" s="10"/>
      <c r="AO20" s="10"/>
      <c r="AP20" s="10"/>
      <c r="AQ20" s="10"/>
      <c r="AR20" s="10"/>
      <c r="AS20" s="10"/>
      <c r="AT20" s="10"/>
      <c r="AU20" s="10"/>
      <c r="AV20" s="10"/>
      <c r="AW20" s="10"/>
      <c r="AX20" s="10"/>
      <c r="AY20" s="10"/>
      <c r="AZ20" s="10"/>
      <c r="BA20" s="10"/>
      <c r="BB20" s="10"/>
      <c r="BC20" s="10"/>
      <c r="BD20" s="10"/>
      <c r="BE20" s="70" t="e">
        <f>INDEX(EnergyIndex,1,Zone)</f>
        <v>#VALUE!</v>
      </c>
      <c r="BF20" s="10"/>
      <c r="BG20" s="10"/>
      <c r="BH20" s="10"/>
      <c r="BI20" s="10"/>
      <c r="BJ20" s="10"/>
      <c r="BK20" s="68" t="s">
        <v>55</v>
      </c>
      <c r="BL20" s="68" t="s">
        <v>1</v>
      </c>
      <c r="BM20" s="68" t="s">
        <v>56</v>
      </c>
      <c r="BN20" s="68" t="s">
        <v>2</v>
      </c>
      <c r="BO20" s="68" t="s">
        <v>57</v>
      </c>
      <c r="BP20" s="68" t="s">
        <v>53</v>
      </c>
      <c r="BQ20" s="68" t="s">
        <v>54</v>
      </c>
      <c r="BR20" s="68" t="s">
        <v>58</v>
      </c>
      <c r="BS20" s="68" t="s">
        <v>352</v>
      </c>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1:99" ht="18.75" thickBot="1" x14ac:dyDescent="0.3">
      <c r="B21" s="553" t="str">
        <f>IF(AND(F152=FALSE,F153=FALSE),"Storey","ENTER STOREY BELOW")</f>
        <v>Storey</v>
      </c>
      <c r="D21" s="482"/>
      <c r="F21" s="553" t="str">
        <f>IF(J154="","Facade areas","ENTER FACADE AREA(S) IN RELEVANT COLUMNS AND ROWS BELOW")</f>
        <v>Facade areas</v>
      </c>
      <c r="U21" s="11"/>
      <c r="V21" s="12"/>
      <c r="W21" s="10"/>
      <c r="X21" s="10"/>
      <c r="Y21" s="410" t="s">
        <v>351</v>
      </c>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25" t="s">
        <v>246</v>
      </c>
      <c r="BF21" s="10"/>
      <c r="BG21" s="10"/>
      <c r="BH21" s="69"/>
      <c r="BI21" s="69" t="s">
        <v>70</v>
      </c>
      <c r="BJ21" s="69"/>
      <c r="BK21" s="77" t="e">
        <f t="shared" ref="BK21:BS21" si="0">INDEX(Constants,1,MATCH(BK$20,Orientations,0),Zone)</f>
        <v>#VALUE!</v>
      </c>
      <c r="BL21" s="78" t="e">
        <f t="shared" si="0"/>
        <v>#VALUE!</v>
      </c>
      <c r="BM21" s="78" t="e">
        <f t="shared" si="0"/>
        <v>#VALUE!</v>
      </c>
      <c r="BN21" s="78" t="e">
        <f t="shared" si="0"/>
        <v>#VALUE!</v>
      </c>
      <c r="BO21" s="78" t="e">
        <f t="shared" si="0"/>
        <v>#VALUE!</v>
      </c>
      <c r="BP21" s="78" t="e">
        <f t="shared" si="0"/>
        <v>#VALUE!</v>
      </c>
      <c r="BQ21" s="78" t="e">
        <f t="shared" si="0"/>
        <v>#VALUE!</v>
      </c>
      <c r="BR21" s="78" t="e">
        <f t="shared" si="0"/>
        <v>#VALUE!</v>
      </c>
      <c r="BS21" s="79" t="e">
        <f t="shared" si="0"/>
        <v>#VALUE!</v>
      </c>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1:99" ht="13.5" thickBot="1" x14ac:dyDescent="0.25">
      <c r="B22" s="626"/>
      <c r="C22" s="629"/>
      <c r="D22" s="630"/>
      <c r="F22" s="550" t="s">
        <v>55</v>
      </c>
      <c r="G22" s="551" t="s">
        <v>1</v>
      </c>
      <c r="H22" s="551" t="s">
        <v>56</v>
      </c>
      <c r="I22" s="551" t="s">
        <v>2</v>
      </c>
      <c r="J22" s="551" t="s">
        <v>57</v>
      </c>
      <c r="K22" s="551" t="s">
        <v>53</v>
      </c>
      <c r="L22" s="551" t="s">
        <v>54</v>
      </c>
      <c r="M22" s="551" t="s">
        <v>58</v>
      </c>
      <c r="N22" s="552" t="s">
        <v>352</v>
      </c>
      <c r="O22" s="637" t="str">
        <f>AY22</f>
        <v/>
      </c>
      <c r="P22" s="638"/>
      <c r="Q22" s="638"/>
      <c r="R22" s="638"/>
      <c r="S22" s="638"/>
      <c r="T22" s="638"/>
      <c r="U22" s="11"/>
      <c r="V22" s="12"/>
      <c r="W22" s="10"/>
      <c r="X22" s="10"/>
      <c r="Y22" s="10"/>
      <c r="Z22" s="10"/>
      <c r="AA22" s="140" t="s">
        <v>347</v>
      </c>
      <c r="AB22" s="10"/>
      <c r="AC22" s="104" t="str">
        <f>IF(TopOKwithActive=TRUE,"……………","")</f>
        <v/>
      </c>
      <c r="AD22" s="10"/>
      <c r="AE22" s="10"/>
      <c r="AF22" s="10"/>
      <c r="AG22" s="10"/>
      <c r="AH22" s="10"/>
      <c r="AI22" s="10"/>
      <c r="AJ22" s="10"/>
      <c r="AK22" s="10"/>
      <c r="AL22" s="10"/>
      <c r="AM22" s="10"/>
      <c r="AN22" s="10"/>
      <c r="AO22" s="10"/>
      <c r="AP22" s="10"/>
      <c r="AQ22" s="10"/>
      <c r="AR22" s="10"/>
      <c r="AS22" s="10"/>
      <c r="AT22" s="10"/>
      <c r="AU22" s="10"/>
      <c r="AV22" s="10"/>
      <c r="AW22" s="10"/>
      <c r="AX22" s="10"/>
      <c r="AY22" s="477" t="str">
        <f>IF(AND(NumberActiveTotal=0,RowsWithData&lt;&gt;0)," ! Enter area for at least 1 facade or clear glazing data",IF(UnusedFacades=0,""," ! Glazing details missing for "&amp;UnusedFacades&amp;" 'active' facade"&amp;IF(UnusedFacades=1,"","s")))</f>
        <v/>
      </c>
      <c r="AZ22" s="480" t="s">
        <v>275</v>
      </c>
      <c r="BA22" s="10"/>
      <c r="BB22" s="10"/>
      <c r="BC22" s="10"/>
      <c r="BD22" s="10"/>
      <c r="BE22" s="10"/>
      <c r="BF22" s="10"/>
      <c r="BG22" s="10"/>
      <c r="BH22" s="69"/>
      <c r="BI22" s="69" t="s">
        <v>71</v>
      </c>
      <c r="BJ22" s="69"/>
      <c r="BK22" s="80" t="e">
        <f t="shared" ref="BK22:BS22" si="1">INDEX(Constants,2,MATCH(BK$20,Orientations,0),Zone)</f>
        <v>#VALUE!</v>
      </c>
      <c r="BL22" s="81" t="e">
        <f t="shared" si="1"/>
        <v>#VALUE!</v>
      </c>
      <c r="BM22" s="81" t="e">
        <f t="shared" si="1"/>
        <v>#VALUE!</v>
      </c>
      <c r="BN22" s="81" t="e">
        <f t="shared" si="1"/>
        <v>#VALUE!</v>
      </c>
      <c r="BO22" s="81" t="e">
        <f t="shared" si="1"/>
        <v>#VALUE!</v>
      </c>
      <c r="BP22" s="81" t="e">
        <f t="shared" si="1"/>
        <v>#VALUE!</v>
      </c>
      <c r="BQ22" s="81" t="e">
        <f t="shared" si="1"/>
        <v>#VALUE!</v>
      </c>
      <c r="BR22" s="81" t="e">
        <f t="shared" si="1"/>
        <v>#VALUE!</v>
      </c>
      <c r="BS22" s="82" t="e">
        <f t="shared" si="1"/>
        <v>#VALUE!</v>
      </c>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1:99" ht="13.5" thickBot="1" x14ac:dyDescent="0.25">
      <c r="E23" s="443" t="s">
        <v>145</v>
      </c>
      <c r="F23" s="574"/>
      <c r="G23" s="575"/>
      <c r="H23" s="575"/>
      <c r="I23" s="575"/>
      <c r="J23" s="575"/>
      <c r="K23" s="575"/>
      <c r="L23" s="575"/>
      <c r="M23" s="575"/>
      <c r="N23" s="578"/>
      <c r="O23" s="640" t="str">
        <f>AY23</f>
        <v/>
      </c>
      <c r="P23" s="641"/>
      <c r="Q23" s="641"/>
      <c r="R23" s="641"/>
      <c r="S23" s="641"/>
      <c r="T23" s="641"/>
      <c r="U23" s="11"/>
      <c r="V23" s="12"/>
      <c r="W23" s="10"/>
      <c r="X23" s="10"/>
      <c r="Y23" s="10"/>
      <c r="Z23" s="10"/>
      <c r="AA23" s="10"/>
      <c r="AB23" s="10"/>
      <c r="AC23" s="409" t="str">
        <f>IF(AND(F23&gt;0,SUMIF(SectorFaced,F22,AreaUsed)&gt;0),SUMIF(SectorFaced,F22,AreaUsed),IF(OR(SUM(F23:$N23)=0,COUNTA(SectorFaced)=0),"",$AC22))</f>
        <v/>
      </c>
      <c r="AD23" s="409" t="str">
        <f>IF(AND(G23&gt;0,SUMIF(SectorFaced,G22,AreaUsed)&gt;0),SUMIF(SectorFaced,G22,AreaUsed),IF(OR(SUM(G23:$N23)=0,COUNTA(SectorFaced)=0),"",$AC22))</f>
        <v/>
      </c>
      <c r="AE23" s="409" t="str">
        <f>IF(AND(H23&gt;0,SUMIF(SectorFaced,H22,AreaUsed)&gt;0),SUMIF(SectorFaced,H22,AreaUsed),IF(OR(SUM(H23:$N23)=0,COUNTA(SectorFaced)=0),"",$AC22))</f>
        <v/>
      </c>
      <c r="AF23" s="409" t="str">
        <f>IF(AND(I23&gt;0,SUMIF(SectorFaced,I22,AreaUsed)&gt;0),SUMIF(SectorFaced,I22,AreaUsed),IF(OR(SUM(I23:$N23)=0,COUNTA(SectorFaced)=0),"",$AC22))</f>
        <v/>
      </c>
      <c r="AG23" s="409" t="str">
        <f>IF(AND(J23&gt;0,SUMIF(SectorFaced,J22,AreaUsed)&gt;0),SUMIF(SectorFaced,J22,AreaUsed),IF(OR(SUM(J23:$N23)=0,COUNTA(SectorFaced)=0),"",$AC22))</f>
        <v/>
      </c>
      <c r="AH23" s="409" t="str">
        <f>IF(AND(K23&gt;0,SUMIF(SectorFaced,K22,AreaUsed)&gt;0),SUMIF(SectorFaced,K22,AreaUsed),IF(OR(SUM(K23:$N23)=0,COUNTA(SectorFaced)=0),"",$AC22))</f>
        <v/>
      </c>
      <c r="AI23" s="409" t="str">
        <f>IF(AND(L23&gt;0,SUMIF(SectorFaced,L22,AreaUsed)&gt;0),SUMIF(SectorFaced,L22,AreaUsed),IF(OR(SUM(L23:$N23)=0,COUNTA(SectorFaced)=0),"",$AC22))</f>
        <v/>
      </c>
      <c r="AJ23" s="409" t="str">
        <f>IF(AND(M23&gt;0,SUMIF(SectorFaced,M22,AreaUsed)&gt;0),SUMIF(SectorFaced,M22,AreaUsed),IF(OR(SUM(M23:$N23)=0,COUNTA(SectorFaced)=0),"",$AC22))</f>
        <v/>
      </c>
      <c r="AK23" s="409" t="str">
        <f>IF(AND(N23&gt;0,SUMIF(SectorFaced,N22,AreaUsed)&gt;0),SUMIF(SectorFaced,N22,AreaUsed),IF(OR(SUM(N23:$N23)=0,COUNTA(SectorFaced)=0),"",$AC22))</f>
        <v/>
      </c>
      <c r="AL23" s="10"/>
      <c r="AM23" s="10"/>
      <c r="AN23" s="10"/>
      <c r="AO23" s="10"/>
      <c r="AP23" s="10"/>
      <c r="AQ23" s="10"/>
      <c r="AR23" s="10"/>
      <c r="AS23" s="10"/>
      <c r="AT23" s="10"/>
      <c r="AU23" s="10"/>
      <c r="AV23" s="10"/>
      <c r="AW23" s="10"/>
      <c r="AX23" s="10"/>
      <c r="AY23" s="478" t="str">
        <f>IF(OrphanElementsA&gt;0," ! Enter facade area"&amp;IF(OrphanElementsA=1,"","s")&amp;" or change glazing orientation",IF(SurplusGlazingA&gt;0," ! Increase facade area"&amp;IF(SurplusGlazingA=1,"","s")&amp;" or reduce glazing area",""))</f>
        <v/>
      </c>
      <c r="AZ23" s="10"/>
      <c r="BA23" s="10"/>
      <c r="BB23" s="10"/>
      <c r="BC23" s="10"/>
      <c r="BD23" s="10"/>
      <c r="BE23" s="70" t="e">
        <f>INDEX(EnergyIndex,2,Zone)</f>
        <v>#VALUE!</v>
      </c>
      <c r="BF23" s="10"/>
      <c r="BG23" s="10"/>
      <c r="BH23" s="69"/>
      <c r="BI23" s="69" t="s">
        <v>72</v>
      </c>
      <c r="BJ23" s="69"/>
      <c r="BK23" s="83" t="e">
        <f t="shared" ref="BK23:BS23" si="2">INDEX(Constants,3,MATCH(BK$20,Orientations,0),Zone)</f>
        <v>#VALUE!</v>
      </c>
      <c r="BL23" s="84" t="e">
        <f t="shared" si="2"/>
        <v>#VALUE!</v>
      </c>
      <c r="BM23" s="84" t="e">
        <f t="shared" si="2"/>
        <v>#VALUE!</v>
      </c>
      <c r="BN23" s="84" t="e">
        <f t="shared" si="2"/>
        <v>#VALUE!</v>
      </c>
      <c r="BO23" s="84" t="e">
        <f t="shared" si="2"/>
        <v>#VALUE!</v>
      </c>
      <c r="BP23" s="84" t="e">
        <f t="shared" si="2"/>
        <v>#VALUE!</v>
      </c>
      <c r="BQ23" s="84" t="e">
        <f t="shared" si="2"/>
        <v>#VALUE!</v>
      </c>
      <c r="BR23" s="84" t="e">
        <f t="shared" si="2"/>
        <v>#VALUE!</v>
      </c>
      <c r="BS23" s="85" t="e">
        <f t="shared" si="2"/>
        <v>#VALUE!</v>
      </c>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1:99" ht="14.25" thickTop="1" thickBot="1" x14ac:dyDescent="0.25">
      <c r="A24" s="11"/>
      <c r="E24" s="443" t="str">
        <f>"Option B"&amp;IF(Zone=8,"                                                       not applicable in zone 8                                                             ","")&amp;" "</f>
        <v xml:space="preserve">Option B </v>
      </c>
      <c r="F24" s="576"/>
      <c r="G24" s="577"/>
      <c r="H24" s="577"/>
      <c r="I24" s="577"/>
      <c r="J24" s="577"/>
      <c r="K24" s="577"/>
      <c r="L24" s="577"/>
      <c r="M24" s="577"/>
      <c r="N24" s="560" t="s">
        <v>357</v>
      </c>
      <c r="O24" s="642" t="str">
        <f>AY24</f>
        <v/>
      </c>
      <c r="P24" s="643"/>
      <c r="Q24" s="643"/>
      <c r="R24" s="643"/>
      <c r="S24" s="643"/>
      <c r="T24" s="643"/>
      <c r="U24" s="108"/>
      <c r="V24" s="12"/>
      <c r="W24" s="10"/>
      <c r="X24" s="10"/>
      <c r="Y24" s="10"/>
      <c r="Z24" s="10"/>
      <c r="AA24" s="10"/>
      <c r="AB24" s="10"/>
      <c r="AC24" s="409" t="str">
        <f>IF(AND(F24&gt;0,SUMIF(SectorFacedLowR,F22,AreaUsed)&gt;0),SUMIF(SectorFacedLowR,F22,AreaUsed),IF(OR(SUM(F24:$M24)=0,COUNTA(SectorFacedLowR)=0),"",$AC22))</f>
        <v/>
      </c>
      <c r="AD24" s="409" t="str">
        <f>IF(AND(G24&gt;0,SUMIF(SectorFacedLowR,G22,AreaUsed)&gt;0),SUMIF(SectorFacedLowR,G22,AreaUsed),IF(OR(SUM(G24:$M24)=0,COUNTA(SectorFacedLowR)=0),"",$AC22))</f>
        <v/>
      </c>
      <c r="AE24" s="409" t="str">
        <f>IF(AND(H24&gt;0,SUMIF(SectorFacedLowR,H22,AreaUsed)&gt;0),SUMIF(SectorFacedLowR,H22,AreaUsed),IF(OR(SUM(H24:$M24)=0,COUNTA(SectorFacedLowR)=0),"",$AC22))</f>
        <v/>
      </c>
      <c r="AF24" s="409" t="str">
        <f>IF(AND(I24&gt;0,SUMIF(SectorFacedLowR,I22,AreaUsed)&gt;0),SUMIF(SectorFacedLowR,I22,AreaUsed),IF(OR(SUM(I24:$M24)=0,COUNTA(SectorFacedLowR)=0),"",$AC22))</f>
        <v/>
      </c>
      <c r="AG24" s="409" t="str">
        <f>IF(AND(J24&gt;0,SUMIF(SectorFacedLowR,J22,AreaUsed)&gt;0),SUMIF(SectorFacedLowR,J22,AreaUsed),IF(OR(SUM(J24:$M24)=0,COUNTA(SectorFacedLowR)=0),"",$AC22))</f>
        <v/>
      </c>
      <c r="AH24" s="409" t="str">
        <f>IF(AND(K24&gt;0,SUMIF(SectorFacedLowR,K22,AreaUsed)&gt;0),SUMIF(SectorFacedLowR,K22,AreaUsed),IF(OR(SUM(K24:$M24)=0,COUNTA(SectorFacedLowR)=0),"",$AC22))</f>
        <v/>
      </c>
      <c r="AI24" s="409" t="str">
        <f>IF(AND(L24&gt;0,SUMIF(SectorFacedLowR,L22,AreaUsed)&gt;0),SUMIF(SectorFacedLowR,L22,AreaUsed),IF(OR(SUM(L24:$M24)=0,COUNTA(SectorFacedLowR)=0),"",$AC22))</f>
        <v/>
      </c>
      <c r="AJ24" s="409" t="str">
        <f>IF(AND(M24&gt;0,SUMIF(SectorFacedLowR,M22,AreaUsed)&gt;0),SUMIF(SectorFacedLowR,M22,AreaUsed),IF(OR(SUM(M24:$M24)=0,COUNTA(SectorFacedLowR)=0),"",$AC22))</f>
        <v/>
      </c>
      <c r="AK24" s="437" t="s">
        <v>357</v>
      </c>
      <c r="AL24" s="10"/>
      <c r="AM24" s="10"/>
      <c r="AN24" s="10"/>
      <c r="AO24" s="10"/>
      <c r="AP24" s="10"/>
      <c r="AQ24" s="10"/>
      <c r="AR24" s="10"/>
      <c r="AS24" s="10"/>
      <c r="AT24" s="10"/>
      <c r="AU24" s="10"/>
      <c r="AV24" s="10"/>
      <c r="AW24" s="10"/>
      <c r="AX24" s="10"/>
      <c r="AY24" s="478" t="str">
        <f>IF(BinZone8&gt;0," ! Option B cannot be used in climate zone 8",IF(OrphanElementsB&gt;0," ! Enter facade area"&amp;IF(OrphanElementsB=1,"","s")&amp;" or change glazing orientation",IF(SurplusGlazingB&gt;0," ! Increase facade area"&amp;IF(SurplusGlazingB=1,"","s")&amp;" or reduce glazing","")))</f>
        <v/>
      </c>
      <c r="AZ24" s="10"/>
      <c r="BA24" s="10"/>
      <c r="BB24" s="10"/>
      <c r="BC24" s="10"/>
      <c r="BD24" s="10"/>
      <c r="BE24" s="125" t="s">
        <v>247</v>
      </c>
      <c r="BF24" s="10"/>
      <c r="BG24" s="10"/>
      <c r="BH24" s="10"/>
      <c r="BI24" s="10"/>
      <c r="BJ24" s="10"/>
      <c r="BK24" s="127" t="s">
        <v>245</v>
      </c>
      <c r="BL24" s="10"/>
      <c r="BM24" s="10"/>
      <c r="BN24" s="10"/>
      <c r="BO24" s="10"/>
      <c r="BP24" s="10"/>
      <c r="BQ24" s="10"/>
      <c r="BR24" s="10"/>
      <c r="BS24" s="10"/>
      <c r="BT24" s="10"/>
      <c r="BU24" s="10"/>
      <c r="BV24" s="10"/>
      <c r="BW24" s="10"/>
      <c r="BX24" s="10"/>
      <c r="BY24" s="10"/>
      <c r="BZ24" s="10"/>
      <c r="CA24" s="10"/>
      <c r="CB24" s="10"/>
      <c r="CC24" s="330" t="b">
        <f>AND(RowsActive&gt;0,RowsActive=RowsOK,AllInputsOK=TRUE,ComplianceErrorsTotal=0)</f>
        <v>0</v>
      </c>
      <c r="CD24" s="125" t="s">
        <v>254</v>
      </c>
      <c r="CE24" s="10"/>
      <c r="CF24" s="10"/>
      <c r="CG24" s="10"/>
      <c r="CH24" s="10"/>
      <c r="CI24" s="10"/>
      <c r="CJ24" s="10"/>
      <c r="CK24" s="10"/>
      <c r="CL24" s="10"/>
      <c r="CM24" s="10"/>
      <c r="CN24" s="10"/>
      <c r="CO24" s="10"/>
      <c r="CP24" s="10"/>
      <c r="CQ24" s="10"/>
      <c r="CR24" s="10"/>
      <c r="CS24" s="10"/>
      <c r="CT24" s="10"/>
      <c r="CU24" s="10"/>
    </row>
    <row r="25" spans="1:99" x14ac:dyDescent="0.2">
      <c r="A25" s="11"/>
      <c r="B25" s="11"/>
      <c r="C25" s="11"/>
      <c r="D25" s="11"/>
      <c r="E25" s="458" t="str">
        <f>IF(SUM(GlazingAreaA)=0,"","Glazing area (A)")</f>
        <v/>
      </c>
      <c r="F25" s="348" t="str">
        <f t="shared" ref="F25:N25" si="3">AC23</f>
        <v/>
      </c>
      <c r="G25" s="348" t="str">
        <f t="shared" si="3"/>
        <v/>
      </c>
      <c r="H25" s="348" t="str">
        <f t="shared" si="3"/>
        <v/>
      </c>
      <c r="I25" s="348" t="str">
        <f t="shared" si="3"/>
        <v/>
      </c>
      <c r="J25" s="348" t="str">
        <f t="shared" si="3"/>
        <v/>
      </c>
      <c r="K25" s="348" t="str">
        <f t="shared" si="3"/>
        <v/>
      </c>
      <c r="L25" s="348" t="str">
        <f t="shared" si="3"/>
        <v/>
      </c>
      <c r="M25" s="348" t="str">
        <f t="shared" si="3"/>
        <v/>
      </c>
      <c r="N25" s="348" t="str">
        <f t="shared" si="3"/>
        <v/>
      </c>
      <c r="O25" s="644" t="str">
        <f>AY25</f>
        <v/>
      </c>
      <c r="P25" s="645"/>
      <c r="Q25" s="645"/>
      <c r="R25" s="645"/>
      <c r="S25" s="645"/>
      <c r="T25" s="645"/>
      <c r="U25" s="108"/>
      <c r="V25" s="12"/>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478" t="str">
        <f>IF(SurplusGlazingA=0,""," ! Glazing exceeds facade area in "&amp;SurplusGlazingA&amp;" facade"&amp;IF(SurplusGlazingA=1,"","s"))</f>
        <v/>
      </c>
      <c r="AZ25" s="10"/>
      <c r="BA25" s="10"/>
      <c r="BB25" s="10"/>
      <c r="BC25" s="10"/>
      <c r="BD25" s="10"/>
      <c r="BE25" s="72" t="s">
        <v>73</v>
      </c>
      <c r="BF25" s="72"/>
      <c r="BG25" s="73"/>
      <c r="BH25" s="73"/>
      <c r="BI25" s="73"/>
      <c r="BJ25" s="73"/>
      <c r="BK25" s="73"/>
      <c r="BL25" s="73"/>
      <c r="BM25" s="73"/>
      <c r="BN25" s="73"/>
      <c r="BO25" s="73"/>
      <c r="BP25" s="73"/>
      <c r="BQ25" s="73"/>
      <c r="BR25" s="73"/>
      <c r="BS25" s="73"/>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1:99" ht="13.5" thickBot="1" x14ac:dyDescent="0.25">
      <c r="A26" s="11"/>
      <c r="E26" s="458" t="str">
        <f>IF(SUM(GlazingAreaB)=0,"","Glazing area (B)")</f>
        <v/>
      </c>
      <c r="F26" s="348" t="str">
        <f t="shared" ref="F26:M26" si="4">AC24</f>
        <v/>
      </c>
      <c r="G26" s="348" t="str">
        <f t="shared" si="4"/>
        <v/>
      </c>
      <c r="H26" s="348" t="str">
        <f t="shared" si="4"/>
        <v/>
      </c>
      <c r="I26" s="348" t="str">
        <f t="shared" si="4"/>
        <v/>
      </c>
      <c r="J26" s="348" t="str">
        <f t="shared" si="4"/>
        <v/>
      </c>
      <c r="K26" s="348" t="str">
        <f t="shared" si="4"/>
        <v/>
      </c>
      <c r="L26" s="348" t="str">
        <f t="shared" si="4"/>
        <v/>
      </c>
      <c r="M26" s="348" t="str">
        <f t="shared" si="4"/>
        <v/>
      </c>
      <c r="N26" s="438"/>
      <c r="O26" s="644" t="str">
        <f>AY26</f>
        <v/>
      </c>
      <c r="P26" s="645"/>
      <c r="Q26" s="645"/>
      <c r="R26" s="645"/>
      <c r="S26" s="645"/>
      <c r="T26" s="645"/>
      <c r="U26" s="108"/>
      <c r="V26" s="12"/>
      <c r="W26" s="10"/>
      <c r="X26" s="10"/>
      <c r="Y26" s="72" t="s">
        <v>274</v>
      </c>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479" t="str">
        <f>IF(SurplusGlazingB=0,""," ! Glazing exceeds facade area in "&amp;SurplusGlazingB&amp;" facade"&amp;IF(SurplusGlazingB=1,"","s"))</f>
        <v/>
      </c>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1:99" ht="13.5" thickBot="1" x14ac:dyDescent="0.25">
      <c r="A27" s="11"/>
      <c r="B27" s="11"/>
      <c r="C27" s="11"/>
      <c r="D27" s="11"/>
      <c r="E27" s="11"/>
      <c r="F27" s="123"/>
      <c r="G27" s="123"/>
      <c r="H27" s="123"/>
      <c r="I27" s="123"/>
      <c r="J27" s="123"/>
      <c r="K27" s="123"/>
      <c r="L27" s="123"/>
      <c r="M27" s="123"/>
      <c r="N27" s="11"/>
      <c r="O27" s="11"/>
      <c r="P27" s="11"/>
      <c r="Q27" s="11"/>
      <c r="R27" s="11"/>
      <c r="S27" s="11"/>
      <c r="T27" s="11"/>
      <c r="U27" s="11"/>
      <c r="V27" s="12"/>
      <c r="W27" s="10"/>
      <c r="X27" s="10"/>
      <c r="Y27" s="10"/>
      <c r="Z27" s="10"/>
      <c r="AA27" s="10"/>
      <c r="AB27" s="10"/>
      <c r="AC27" s="10"/>
      <c r="AD27" s="10"/>
      <c r="AE27" s="10"/>
      <c r="AF27" s="10"/>
      <c r="AG27" s="10"/>
      <c r="AH27" s="10"/>
      <c r="AI27" s="126" t="s">
        <v>193</v>
      </c>
      <c r="AJ27" s="127" t="s">
        <v>194</v>
      </c>
      <c r="AK27" s="98"/>
      <c r="AL27" s="98"/>
      <c r="AM27" s="10"/>
      <c r="AN27" s="127" t="s">
        <v>185</v>
      </c>
      <c r="AO27" s="10"/>
      <c r="AP27" s="179"/>
      <c r="AQ27" s="127" t="s">
        <v>164</v>
      </c>
      <c r="AR27" s="10"/>
      <c r="AS27" s="127" t="s">
        <v>165</v>
      </c>
      <c r="AT27" s="127"/>
      <c r="AU27" s="10"/>
      <c r="AV27" s="127" t="s">
        <v>169</v>
      </c>
      <c r="AW27" s="10"/>
      <c r="AX27" s="125" t="s">
        <v>172</v>
      </c>
      <c r="AY27" s="10"/>
      <c r="AZ27" s="125" t="s">
        <v>182</v>
      </c>
      <c r="BA27" s="10"/>
      <c r="BB27" s="10"/>
      <c r="BC27" s="127" t="s">
        <v>177</v>
      </c>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26" t="s">
        <v>161</v>
      </c>
      <c r="CB27" s="127" t="s">
        <v>162</v>
      </c>
      <c r="CC27" s="10"/>
      <c r="CD27" s="10"/>
      <c r="CE27" s="10"/>
      <c r="CF27" s="10"/>
      <c r="CG27" s="10"/>
      <c r="CH27" s="10"/>
      <c r="CI27" s="10"/>
      <c r="CJ27" s="10"/>
      <c r="CK27" s="10"/>
      <c r="CL27" s="10"/>
      <c r="CM27" s="10"/>
      <c r="CN27" s="10"/>
      <c r="CO27" s="10"/>
      <c r="CP27" s="10"/>
      <c r="CQ27" s="10"/>
      <c r="CR27" s="10"/>
      <c r="CS27" s="10"/>
      <c r="CT27" s="10"/>
      <c r="CU27" s="10"/>
    </row>
    <row r="28" spans="1:99" ht="17.25" thickTop="1" thickBot="1" x14ac:dyDescent="0.3">
      <c r="A28" s="11"/>
      <c r="B28" s="124" t="s">
        <v>283</v>
      </c>
      <c r="G28" s="579">
        <v>10</v>
      </c>
      <c r="H28" s="457" t="str">
        <f>IF(RowsPreferred&gt;RowsAvailable,"Not possible - maximum number available is "&amp;RowsAvailable,IF(RowsPreferred&lt;MAX(1,LastActive),"Too few - rows containing calculation data will be hidden",IF(RowsPreferred&lt;&gt;RowsDisplayed,"Click arrow beside 'ID' and select only '"&amp;RowsPreferred&amp;"' on the drop-down list","(as currently displayed)")))</f>
        <v>(as currently displayed)</v>
      </c>
      <c r="I28" s="11"/>
      <c r="L28" s="11"/>
      <c r="M28" s="11"/>
      <c r="N28" s="11"/>
      <c r="O28" s="563" t="str">
        <f>IF(OR(COUNTA(TableInputs)=0,AllInputsOK=TRUE),"","Complete "&amp;IF(AdviceIssuesOnly=TRUE,"","or correct ")&amp;"inputs to show outcomes")</f>
        <v/>
      </c>
      <c r="P28" s="561"/>
      <c r="Q28" s="561"/>
      <c r="R28" s="561"/>
      <c r="S28" s="561"/>
      <c r="T28" s="562"/>
      <c r="U28" s="108"/>
      <c r="V28" s="12"/>
      <c r="W28" s="10"/>
      <c r="X28" s="10"/>
      <c r="Y28" s="334" t="s">
        <v>260</v>
      </c>
      <c r="Z28" s="10"/>
      <c r="AA28" s="10"/>
      <c r="AB28" s="10"/>
      <c r="AC28" s="10"/>
      <c r="AD28" s="10"/>
      <c r="AE28" s="10"/>
      <c r="AF28" s="10"/>
      <c r="AG28" s="10"/>
      <c r="AH28" s="10"/>
      <c r="AI28" s="89">
        <f>AI31</f>
        <v>0</v>
      </c>
      <c r="AJ28" s="97">
        <f>SUM(AJ31:AM31)</f>
        <v>0</v>
      </c>
      <c r="AK28" s="98"/>
      <c r="AL28" s="98"/>
      <c r="AM28" s="10"/>
      <c r="AN28" s="89">
        <f>SUM(AN31:AO31)</f>
        <v>0</v>
      </c>
      <c r="AO28" s="10"/>
      <c r="AP28" s="10"/>
      <c r="AQ28" s="97">
        <f>SUM(AQ31:AR31)</f>
        <v>0</v>
      </c>
      <c r="AR28" s="10"/>
      <c r="AS28" s="89">
        <f>SUM(AS31:AU31)</f>
        <v>0</v>
      </c>
      <c r="AT28" s="99"/>
      <c r="AU28" s="10"/>
      <c r="AV28" s="89">
        <f>SUM(NoSector,DudSector,DudSize,DudPerformance,DudShading)</f>
        <v>0</v>
      </c>
      <c r="AW28" s="10"/>
      <c r="AX28" s="356" t="b">
        <f>AND(TopOKwithActive=TRUE,DudTableInputs=0,InputIssues=0,AllErrors=0)</f>
        <v>0</v>
      </c>
      <c r="AY28" s="157" t="s">
        <v>173</v>
      </c>
      <c r="AZ28" s="89">
        <f>Tables!C173</f>
        <v>1.7989999999999999</v>
      </c>
      <c r="BA28" s="10"/>
      <c r="BB28" s="10"/>
      <c r="BC28" s="89">
        <f>SUMIF(AD33:AD112,FALSE,AE33:AE112)</f>
        <v>0</v>
      </c>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89">
        <f>COUNTIF(CA33:CA112,TRUE)</f>
        <v>0</v>
      </c>
      <c r="CB28" s="97">
        <f>COUNTIF(CB33:CB112,TRUE)</f>
        <v>0</v>
      </c>
      <c r="CC28" s="89">
        <f>SUM(CA28:CB28)</f>
        <v>0</v>
      </c>
      <c r="CD28" s="333" t="str">
        <f>IF(VisibleFailures&gt;0,"CALCULATED OUTCOMES FAILURES (in red italics)",IF(AND(AllInputsOK=TRUE,ComplianceErrorsTotal=0),"CALCULATED OUTCOMES OK (if inputs are valid)",""))</f>
        <v/>
      </c>
      <c r="CE28" s="332"/>
      <c r="CF28" s="10"/>
      <c r="CG28" s="10"/>
      <c r="CH28" s="10"/>
      <c r="CI28" s="10"/>
      <c r="CJ28" s="10"/>
      <c r="CK28" s="10"/>
      <c r="CL28" s="10"/>
      <c r="CM28" s="10"/>
      <c r="CN28" s="10"/>
      <c r="CO28" s="10"/>
      <c r="CP28" s="10"/>
      <c r="CQ28" s="10"/>
      <c r="CR28" s="10"/>
      <c r="CS28" s="10"/>
      <c r="CT28" s="10"/>
      <c r="CU28" s="10"/>
    </row>
    <row r="29" spans="1:99" ht="6" customHeight="1" thickTop="1" thickBot="1" x14ac:dyDescent="0.25">
      <c r="A29" s="11"/>
      <c r="B29" s="11"/>
      <c r="C29" s="11"/>
      <c r="D29" s="11"/>
      <c r="E29" s="11"/>
      <c r="F29" s="123"/>
      <c r="G29" s="123"/>
      <c r="H29" s="123"/>
      <c r="I29" s="123"/>
      <c r="J29" s="123"/>
      <c r="K29" s="123"/>
      <c r="L29" s="123"/>
      <c r="M29" s="123"/>
      <c r="N29" s="123"/>
      <c r="O29" s="11"/>
      <c r="P29" s="11"/>
      <c r="Q29" s="11"/>
      <c r="R29" s="11"/>
      <c r="S29" s="11"/>
      <c r="T29" s="11"/>
      <c r="U29" s="108"/>
      <c r="V29" s="12"/>
      <c r="W29" s="10"/>
      <c r="X29" s="10"/>
      <c r="Y29" s="10"/>
      <c r="Z29" s="10"/>
      <c r="AA29" s="10"/>
      <c r="AB29" s="10"/>
      <c r="AC29" s="10"/>
      <c r="AD29" s="10"/>
      <c r="AE29" s="10"/>
      <c r="AF29" s="10"/>
      <c r="AG29" s="10"/>
      <c r="AH29" s="10"/>
      <c r="AI29" s="10"/>
      <c r="AJ29" s="10"/>
      <c r="AK29" s="209"/>
      <c r="AL29" s="331"/>
      <c r="AM29" s="10"/>
      <c r="AN29" s="127"/>
      <c r="AO29" s="10"/>
      <c r="AP29" s="179"/>
      <c r="AQ29" s="127"/>
      <c r="AR29" s="10"/>
      <c r="AS29" s="127"/>
      <c r="AT29" s="127"/>
      <c r="AU29" s="10"/>
      <c r="AV29" s="127"/>
      <c r="AW29" s="10"/>
      <c r="AX29" s="10"/>
      <c r="AY29" s="10"/>
      <c r="AZ29" s="10"/>
      <c r="BA29" s="66"/>
      <c r="BB29" s="10"/>
      <c r="BC29" s="125"/>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98"/>
      <c r="CH29" s="98"/>
      <c r="CI29" s="98"/>
      <c r="CJ29" s="10"/>
      <c r="CK29" s="10"/>
      <c r="CL29" s="10"/>
      <c r="CM29" s="10"/>
      <c r="CN29" s="10"/>
      <c r="CO29" s="10"/>
      <c r="CP29" s="10"/>
      <c r="CQ29" s="10"/>
      <c r="CR29" s="10"/>
      <c r="CS29" s="10"/>
      <c r="CT29" s="10"/>
      <c r="CU29" s="10"/>
    </row>
    <row r="30" spans="1:99" ht="15" x14ac:dyDescent="0.2">
      <c r="A30" s="442"/>
      <c r="B30" s="555" t="str">
        <f>IF(J162="","GLAZING ELEMENTS, ORIENTATION SECTOR, SIZE and PERFORMANCE CHARACTERISTICS","ENTER GLAZING DETAILS IN THIS TABLE. Input above table and arrow at 'ID' alter the number of rows.")</f>
        <v>GLAZING ELEMENTS, ORIENTATION SECTOR, SIZE and PERFORMANCE CHARACTERISTICS</v>
      </c>
      <c r="C30" s="517"/>
      <c r="D30" s="517"/>
      <c r="E30" s="517"/>
      <c r="F30" s="518"/>
      <c r="G30" s="518"/>
      <c r="H30" s="518"/>
      <c r="I30" s="518"/>
      <c r="J30" s="518"/>
      <c r="K30" s="518"/>
      <c r="L30" s="519"/>
      <c r="M30" s="631" t="s">
        <v>59</v>
      </c>
      <c r="N30" s="639"/>
      <c r="O30" s="631" t="str">
        <f>IF(OutcomesBanner="","CALCULATION DATA",OutcomesBanner)</f>
        <v>CALCULATION DATA</v>
      </c>
      <c r="P30" s="632"/>
      <c r="Q30" s="632"/>
      <c r="R30" s="632"/>
      <c r="S30" s="632"/>
      <c r="T30" s="633"/>
      <c r="U30" s="11"/>
      <c r="V30" s="12"/>
      <c r="W30" s="10"/>
      <c r="X30" s="10"/>
      <c r="Y30" s="125" t="s">
        <v>135</v>
      </c>
      <c r="Z30" s="10"/>
      <c r="AA30" s="10"/>
      <c r="AB30" s="10"/>
      <c r="AC30" s="126" t="s">
        <v>136</v>
      </c>
      <c r="AD30" s="127" t="s">
        <v>137</v>
      </c>
      <c r="AE30" s="125"/>
      <c r="AF30" s="342" t="s">
        <v>364</v>
      </c>
      <c r="AG30" s="145" t="str">
        <f>F31</f>
        <v>Facing sector</v>
      </c>
      <c r="AH30" s="144"/>
      <c r="AI30" s="144"/>
      <c r="AJ30" s="144"/>
      <c r="AK30" s="144"/>
      <c r="AL30" s="144"/>
      <c r="AM30" s="148"/>
      <c r="AN30" s="147" t="str">
        <f>H31</f>
        <v>Size</v>
      </c>
      <c r="AO30" s="148"/>
      <c r="AP30" s="148"/>
      <c r="AQ30" s="147" t="str">
        <f>K31</f>
        <v>Performance</v>
      </c>
      <c r="AR30" s="148"/>
      <c r="AS30" s="147" t="str">
        <f>M30</f>
        <v>SHADING</v>
      </c>
      <c r="AT30" s="149"/>
      <c r="AU30" s="148"/>
      <c r="AV30" s="127" t="s">
        <v>170</v>
      </c>
      <c r="AW30" s="10"/>
      <c r="AX30" s="126" t="s">
        <v>174</v>
      </c>
      <c r="AY30" s="342" t="s">
        <v>171</v>
      </c>
      <c r="AZ30" s="10"/>
      <c r="BA30" s="10"/>
      <c r="BB30" s="10"/>
      <c r="BC30" s="125" t="s">
        <v>178</v>
      </c>
      <c r="BD30" s="10"/>
      <c r="BE30" s="10"/>
      <c r="BF30" s="105"/>
      <c r="BG30" s="105"/>
      <c r="BH30" s="105"/>
      <c r="BI30" s="172"/>
      <c r="BJ30" s="172"/>
      <c r="BK30" s="10"/>
      <c r="BL30" s="172"/>
      <c r="BM30" s="172"/>
      <c r="BN30" s="172"/>
      <c r="BO30" s="172"/>
      <c r="BP30" s="172"/>
      <c r="BQ30" s="105"/>
      <c r="BR30" s="105"/>
      <c r="BS30" s="105"/>
      <c r="BT30" s="10"/>
      <c r="BU30" s="106" t="s">
        <v>195</v>
      </c>
      <c r="BV30" s="106"/>
      <c r="BW30" s="106"/>
      <c r="BX30" s="106"/>
      <c r="BY30" s="106"/>
      <c r="BZ30" s="10"/>
      <c r="CA30" s="10"/>
      <c r="CB30" s="10"/>
      <c r="CC30" s="127" t="s">
        <v>163</v>
      </c>
      <c r="CD30" s="127"/>
      <c r="CE30" s="127"/>
      <c r="CF30" s="10"/>
      <c r="CG30" s="10"/>
      <c r="CH30" s="10"/>
      <c r="CI30" s="10"/>
      <c r="CJ30" s="10"/>
      <c r="CK30" s="10"/>
      <c r="CL30" s="10"/>
      <c r="CM30" s="10"/>
      <c r="CN30" s="10"/>
      <c r="CO30" s="10"/>
      <c r="CP30" s="10"/>
      <c r="CQ30" s="10"/>
      <c r="CR30" s="10"/>
      <c r="CS30" s="10"/>
      <c r="CT30" s="10"/>
      <c r="CU30" s="10"/>
    </row>
    <row r="31" spans="1:99" ht="15" thickBot="1" x14ac:dyDescent="0.3">
      <c r="A31" s="11"/>
      <c r="B31" s="520" t="s">
        <v>284</v>
      </c>
      <c r="C31" s="444"/>
      <c r="D31" s="445"/>
      <c r="E31" s="446"/>
      <c r="F31" s="634" t="s">
        <v>361</v>
      </c>
      <c r="G31" s="635"/>
      <c r="H31" s="447" t="s">
        <v>125</v>
      </c>
      <c r="I31" s="448"/>
      <c r="J31" s="449"/>
      <c r="K31" s="447" t="s">
        <v>126</v>
      </c>
      <c r="L31" s="450"/>
      <c r="M31" s="634" t="s">
        <v>362</v>
      </c>
      <c r="N31" s="635"/>
      <c r="O31" s="634" t="s">
        <v>240</v>
      </c>
      <c r="P31" s="636"/>
      <c r="Q31" s="634" t="s">
        <v>282</v>
      </c>
      <c r="R31" s="635"/>
      <c r="S31" s="451" t="s">
        <v>125</v>
      </c>
      <c r="T31" s="521" t="s">
        <v>358</v>
      </c>
      <c r="U31" s="11"/>
      <c r="V31" s="12"/>
      <c r="W31" s="10"/>
      <c r="X31" s="10"/>
      <c r="Y31" s="128">
        <f t="array" ref="Y31">MAX(IF(AD33:AD112=TRUE,Rows))</f>
        <v>0</v>
      </c>
      <c r="Z31" s="10"/>
      <c r="AA31" s="10"/>
      <c r="AB31" s="10"/>
      <c r="AC31" s="129">
        <f>SUM(AC33:AC112)</f>
        <v>0</v>
      </c>
      <c r="AD31" s="129">
        <f>COUNTIF(AD33:AD112,TRUE)</f>
        <v>0</v>
      </c>
      <c r="AE31" s="130">
        <f>COUNTIF(AE33:AE112,"&gt;0")</f>
        <v>0</v>
      </c>
      <c r="AF31" s="129">
        <f>COUNTIF(AF33:AF112,TRUE)</f>
        <v>0</v>
      </c>
      <c r="AG31" s="125" t="s">
        <v>155</v>
      </c>
      <c r="AH31" s="10"/>
      <c r="AI31" s="129">
        <f t="shared" ref="AI31:AO31" si="5">COUNTIF(AI33:AI112,TRUE)</f>
        <v>0</v>
      </c>
      <c r="AJ31" s="130">
        <f t="shared" si="5"/>
        <v>0</v>
      </c>
      <c r="AK31" s="130">
        <f t="shared" si="5"/>
        <v>0</v>
      </c>
      <c r="AL31" s="130">
        <f t="shared" si="5"/>
        <v>0</v>
      </c>
      <c r="AM31" s="130">
        <f t="shared" si="5"/>
        <v>0</v>
      </c>
      <c r="AN31" s="129">
        <f t="shared" si="5"/>
        <v>0</v>
      </c>
      <c r="AO31" s="129">
        <f t="shared" si="5"/>
        <v>0</v>
      </c>
      <c r="AP31" s="161"/>
      <c r="AQ31" s="130">
        <f t="shared" ref="AQ31:AV31" si="6">COUNTIF(AQ33:AQ112,TRUE)</f>
        <v>0</v>
      </c>
      <c r="AR31" s="130">
        <f t="shared" si="6"/>
        <v>0</v>
      </c>
      <c r="AS31" s="129">
        <f t="shared" si="6"/>
        <v>0</v>
      </c>
      <c r="AT31" s="129">
        <f t="shared" si="6"/>
        <v>0</v>
      </c>
      <c r="AU31" s="129">
        <f t="shared" si="6"/>
        <v>0</v>
      </c>
      <c r="AV31" s="130">
        <f t="shared" si="6"/>
        <v>0</v>
      </c>
      <c r="AW31" s="10"/>
      <c r="AX31" s="89">
        <f>SUM(AX33:AX112)</f>
        <v>0</v>
      </c>
      <c r="AY31" s="343">
        <f>IF(RowsActive=RowsOK,0,RowsWithData-RowsOK&lt;=1)</f>
        <v>0</v>
      </c>
      <c r="AZ31" s="161"/>
      <c r="BA31" s="161"/>
      <c r="BB31" s="161"/>
      <c r="BC31" s="89">
        <f>COUNTIF(BC33:BC112,TRUE)</f>
        <v>0</v>
      </c>
      <c r="BD31" s="10"/>
      <c r="BE31" s="169" t="s">
        <v>64</v>
      </c>
      <c r="BF31" s="105"/>
      <c r="BG31" s="105"/>
      <c r="BH31" s="173"/>
      <c r="BI31" s="174"/>
      <c r="BJ31" s="174"/>
      <c r="BK31" s="173"/>
      <c r="BL31" s="181" t="s">
        <v>63</v>
      </c>
      <c r="BM31" s="105"/>
      <c r="BN31" s="105"/>
      <c r="BO31" s="105"/>
      <c r="BP31" s="180" t="s">
        <v>65</v>
      </c>
      <c r="BQ31" s="105"/>
      <c r="BR31" s="105"/>
      <c r="BS31" s="105"/>
      <c r="BT31" s="98"/>
      <c r="BU31" s="175" t="s">
        <v>184</v>
      </c>
      <c r="BV31" s="98"/>
      <c r="BW31" s="98"/>
      <c r="BX31" s="98"/>
      <c r="BY31" s="98"/>
      <c r="BZ31" s="98"/>
      <c r="CA31" s="198" t="s">
        <v>205</v>
      </c>
      <c r="CB31" s="189"/>
      <c r="CC31" s="10"/>
      <c r="CD31" s="10"/>
      <c r="CE31" s="10"/>
      <c r="CF31" s="10"/>
      <c r="CG31" s="10"/>
      <c r="CH31" s="10"/>
      <c r="CI31" s="10"/>
      <c r="CJ31" s="10"/>
      <c r="CK31" s="10"/>
      <c r="CL31" s="10"/>
      <c r="CM31" s="10"/>
      <c r="CN31" s="10"/>
      <c r="CO31" s="10"/>
      <c r="CP31" s="10"/>
      <c r="CQ31" s="10"/>
      <c r="CR31" s="10"/>
      <c r="CS31" s="10"/>
      <c r="CT31" s="10"/>
      <c r="CU31" s="10"/>
    </row>
    <row r="32" spans="1:99" ht="45.95" customHeight="1" thickBot="1" x14ac:dyDescent="0.25">
      <c r="A32" s="11"/>
      <c r="B32" s="598" t="str">
        <f>IF(RowsDisplayed=RowsPreferred,"","     rows")</f>
        <v/>
      </c>
      <c r="C32" s="599" t="s">
        <v>4</v>
      </c>
      <c r="D32" s="646" t="s">
        <v>403</v>
      </c>
      <c r="E32" s="647"/>
      <c r="F32" s="600" t="s">
        <v>120</v>
      </c>
      <c r="G32" s="601" t="str">
        <f>"Option B
"&amp;IF(Zone=8,"N/A","facades")</f>
        <v>Option B
facades</v>
      </c>
      <c r="H32" s="602" t="s">
        <v>285</v>
      </c>
      <c r="I32" s="603" t="s">
        <v>286</v>
      </c>
      <c r="J32" s="604" t="s">
        <v>287</v>
      </c>
      <c r="K32" s="602" t="s">
        <v>401</v>
      </c>
      <c r="L32" s="604" t="s">
        <v>402</v>
      </c>
      <c r="M32" s="605" t="s">
        <v>10</v>
      </c>
      <c r="N32" s="604" t="s">
        <v>11</v>
      </c>
      <c r="O32" s="602" t="s">
        <v>5</v>
      </c>
      <c r="P32" s="604" t="s">
        <v>69</v>
      </c>
      <c r="Q32" s="602" t="s">
        <v>359</v>
      </c>
      <c r="R32" s="604" t="s">
        <v>360</v>
      </c>
      <c r="S32" s="604" t="s">
        <v>288</v>
      </c>
      <c r="T32" s="606" t="s">
        <v>289</v>
      </c>
      <c r="U32" s="11"/>
      <c r="V32" s="12"/>
      <c r="W32" s="10"/>
      <c r="X32" s="10"/>
      <c r="Y32" s="68" t="s">
        <v>138</v>
      </c>
      <c r="Z32" s="68" t="s">
        <v>139</v>
      </c>
      <c r="AA32" s="131" t="s">
        <v>140</v>
      </c>
      <c r="AB32" s="10"/>
      <c r="AC32" s="132" t="s">
        <v>141</v>
      </c>
      <c r="AD32" s="132" t="s">
        <v>142</v>
      </c>
      <c r="AE32" s="132" t="s">
        <v>143</v>
      </c>
      <c r="AF32" s="156" t="s">
        <v>363</v>
      </c>
      <c r="AG32" s="472" t="s">
        <v>156</v>
      </c>
      <c r="AH32" s="473" t="s">
        <v>157</v>
      </c>
      <c r="AI32" s="467" t="s">
        <v>103</v>
      </c>
      <c r="AJ32" s="468" t="s">
        <v>258</v>
      </c>
      <c r="AK32" s="469" t="s">
        <v>259</v>
      </c>
      <c r="AL32" s="470" t="s">
        <v>256</v>
      </c>
      <c r="AM32" s="470" t="s">
        <v>257</v>
      </c>
      <c r="AN32" s="460" t="s">
        <v>127</v>
      </c>
      <c r="AO32" s="461" t="s">
        <v>158</v>
      </c>
      <c r="AP32" s="471" t="s">
        <v>186</v>
      </c>
      <c r="AQ32" s="612" t="s">
        <v>409</v>
      </c>
      <c r="AR32" s="613" t="s">
        <v>410</v>
      </c>
      <c r="AS32" s="155" t="s">
        <v>166</v>
      </c>
      <c r="AT32" s="462" t="s">
        <v>167</v>
      </c>
      <c r="AU32" s="156" t="s">
        <v>168</v>
      </c>
      <c r="AV32" s="158" t="s">
        <v>159</v>
      </c>
      <c r="AW32" s="159" t="s">
        <v>160</v>
      </c>
      <c r="AX32" s="159" t="s">
        <v>175</v>
      </c>
      <c r="AY32" s="160" t="s">
        <v>176</v>
      </c>
      <c r="AZ32" s="162" t="s">
        <v>183</v>
      </c>
      <c r="BA32" s="163" t="s">
        <v>179</v>
      </c>
      <c r="BB32" s="164" t="s">
        <v>180</v>
      </c>
      <c r="BC32" s="165" t="s">
        <v>181</v>
      </c>
      <c r="BD32" s="107"/>
      <c r="BE32" s="166" t="s">
        <v>6</v>
      </c>
      <c r="BF32" s="167" t="s">
        <v>7</v>
      </c>
      <c r="BG32" s="167" t="s">
        <v>8</v>
      </c>
      <c r="BH32" s="168" t="s">
        <v>9</v>
      </c>
      <c r="BI32" s="307" t="s">
        <v>353</v>
      </c>
      <c r="BJ32" s="307" t="s">
        <v>354</v>
      </c>
      <c r="BK32" s="320" t="s">
        <v>251</v>
      </c>
      <c r="BL32" s="167" t="s">
        <v>60</v>
      </c>
      <c r="BM32" s="167" t="s">
        <v>61</v>
      </c>
      <c r="BN32" s="167" t="s">
        <v>62</v>
      </c>
      <c r="BO32" s="168" t="s">
        <v>100</v>
      </c>
      <c r="BP32" s="166" t="s">
        <v>66</v>
      </c>
      <c r="BQ32" s="167" t="s">
        <v>67</v>
      </c>
      <c r="BR32" s="167" t="s">
        <v>68</v>
      </c>
      <c r="BS32" s="168" t="s">
        <v>101</v>
      </c>
      <c r="BT32" s="10"/>
      <c r="BU32" s="166" t="s">
        <v>131</v>
      </c>
      <c r="BV32" s="167" t="s">
        <v>132</v>
      </c>
      <c r="BW32" s="178" t="s">
        <v>106</v>
      </c>
      <c r="BX32" s="178" t="s">
        <v>107</v>
      </c>
      <c r="BY32" s="168" t="s">
        <v>130</v>
      </c>
      <c r="BZ32" s="10"/>
      <c r="CA32" s="196" t="s">
        <v>203</v>
      </c>
      <c r="CB32" s="197" t="s">
        <v>204</v>
      </c>
      <c r="CC32" s="107" t="s">
        <v>206</v>
      </c>
      <c r="CD32" s="298" t="s">
        <v>239</v>
      </c>
      <c r="CE32" s="304"/>
      <c r="CF32" s="10"/>
      <c r="CG32" s="10"/>
      <c r="CH32" s="10"/>
      <c r="CI32" s="10"/>
      <c r="CJ32" s="10"/>
      <c r="CK32" s="10"/>
      <c r="CL32" s="10"/>
      <c r="CM32" s="10"/>
      <c r="CN32" s="10"/>
      <c r="CO32" s="10"/>
      <c r="CP32" s="10"/>
      <c r="CQ32" s="10"/>
      <c r="CR32" s="10"/>
      <c r="CS32" s="10"/>
      <c r="CT32" s="10"/>
      <c r="CU32" s="10"/>
    </row>
    <row r="33" spans="1:99" x14ac:dyDescent="0.2">
      <c r="A33" s="11"/>
      <c r="B33" s="522">
        <f>Z33</f>
        <v>10</v>
      </c>
      <c r="C33" s="566">
        <v>1</v>
      </c>
      <c r="D33" s="648"/>
      <c r="E33" s="649"/>
      <c r="F33" s="508"/>
      <c r="G33" s="509"/>
      <c r="H33" s="580"/>
      <c r="I33" s="580"/>
      <c r="J33" s="568"/>
      <c r="K33" s="583"/>
      <c r="L33" s="584"/>
      <c r="M33" s="585"/>
      <c r="N33" s="572"/>
      <c r="O33" s="510" t="str">
        <f>IF(AND(AV33=TRUE,AW33=TRUE),IF(OR(M33="device",F33="internal"),2,IF(AZ33=TRUE,0,1)*M33/N33),"")</f>
        <v/>
      </c>
      <c r="P33" s="511" t="str">
        <f t="shared" ref="P33:P112" si="7">IF(AV33=TRUE,IF(AND(H33&gt;0,M33&gt;0,N33&gt;0),ROUND(N33-H33,3),0),"")</f>
        <v/>
      </c>
      <c r="Q33" s="512">
        <f>IF(OR(ISERR(BO33),BO33=10),"",BO33)</f>
        <v>0</v>
      </c>
      <c r="R33" s="513">
        <f>IF(OR(ISERR(BS33),BS33=10),"",BS33)</f>
        <v>0</v>
      </c>
      <c r="S33" s="514">
        <f>MAX(H33*I33,J33)</f>
        <v>0</v>
      </c>
      <c r="T33" s="523" t="str">
        <f t="shared" ref="T33:T112" si="8">IF(AllInputsOK=TRUE,CD33,"")</f>
        <v/>
      </c>
      <c r="U33" s="11"/>
      <c r="V33" s="12"/>
      <c r="W33" s="10"/>
      <c r="X33" s="10"/>
      <c r="Y33" s="10">
        <v>1</v>
      </c>
      <c r="Z33" s="71">
        <f t="shared" ref="Z33:Z71" si="9">IF(AND(RowsPreferred&lt;LastActive,LastActive&gt;=Y33),LastActive,IF(RowsPreferred&gt;=Y33,RowsPreferred,"-"))</f>
        <v>10</v>
      </c>
      <c r="AA33" s="71">
        <f>IF(AD33=TRUE,1,0)</f>
        <v>0</v>
      </c>
      <c r="AB33" s="100"/>
      <c r="AC33" s="177">
        <f>COUNTA(D33:N33)</f>
        <v>0</v>
      </c>
      <c r="AD33" s="146">
        <f>IF(SUM(AC33:AC$112)=0,0,COUNTA(F33:G33)&gt;0)</f>
        <v>0</v>
      </c>
      <c r="AE33" s="177">
        <f>COUNTA(H33:N33)</f>
        <v>0</v>
      </c>
      <c r="AF33" s="474">
        <f>IF(SUM(AC33:AC$112)=0,0,AND(AD33=FALSE,AE33=0,SUM(AE34:AE$112)&gt;0))</f>
        <v>0</v>
      </c>
      <c r="AG33" s="463">
        <f t="shared" ref="AG33:AG112" si="10">IF(AC33=0,0,AND(NumberActive&gt;0,OR(F33&gt;0,COUNTA(F33:G33)=0)))</f>
        <v>0</v>
      </c>
      <c r="AH33" s="146">
        <f t="shared" ref="AH33:AH112" si="11">IF(AC33=0,0,AND(NumberActiveLowR&gt;0,F33=0))</f>
        <v>0</v>
      </c>
      <c r="AI33" s="146">
        <f t="shared" ref="AI33:AI112" si="12">IF(AC33=0,0,AND(AD33=FALSE,AE33&gt;0))</f>
        <v>0</v>
      </c>
      <c r="AJ33" s="146">
        <f t="shared" ref="AJ33:AJ112" si="13">IF(AC33=0,0,AND(COUNTA(F33:G33)=2,AK33=FALSE))</f>
        <v>0</v>
      </c>
      <c r="AK33" s="464">
        <f t="shared" ref="AK33:AK112" si="14">IF(AC33=0,0,OR(F33="n/a",G33="n/a"))</f>
        <v>0</v>
      </c>
      <c r="AL33" s="146">
        <f t="shared" ref="AL33:AL112" si="15">IF(AC33=0,0,AND(COUNTA(F33)&gt;0,OR(ISERR(MATCH(F33,OrientationsA,0)),ISNA(MATCH(F33,OrientationsA,0)))))</f>
        <v>0</v>
      </c>
      <c r="AM33" s="146">
        <f t="shared" ref="AM33:AM112" si="16">IF(AC33=0,0,AND(COUNTA(G33)&gt;0,OR(ISERR(MATCH(G33,OrientationsB,0)),ISNA(MATCH(G33,OrientationsB,0)))))</f>
        <v>0</v>
      </c>
      <c r="AN33" s="463">
        <f t="shared" ref="AN33:AN112" si="17">IF(AC33=0,0,AND(AD33=TRUE,H33=0,M33&lt;&gt;"device",N33&gt;0))</f>
        <v>0</v>
      </c>
      <c r="AO33" s="146">
        <f t="shared" ref="AO33:AO112" si="18">IF(AC33=0,0,AND(AD33=TRUE,COUNTIF(AJ33:AM33,TRUE)=0,H33*I33=0,J33=0))</f>
        <v>0</v>
      </c>
      <c r="AP33" s="146">
        <f>IF(I33=0,0,H33*I33&lt;J33)</f>
        <v>0</v>
      </c>
      <c r="AQ33" s="463">
        <f>IF(AC33=0,0,AND(AD33=TRUE,COUNTIF(AI33:AO33,TRUE)=0,COUNTIF(AS33:AU33,TRUE)=0,ISBLANK(K33)))</f>
        <v>0</v>
      </c>
      <c r="AR33" s="465">
        <f>IF(AC33=0,0,AND(AD33=TRUE,COUNTIF(AI33:AO33,TRUE)=0,COUNTIF(AS33:AU33,TRUE)=0,ISBLANK(L33)))</f>
        <v>0</v>
      </c>
      <c r="AS33" s="463">
        <f t="shared" ref="AS33:AS112" si="19">IF(AC33=0,0,OR(M33&lt;0,AND(ISTEXT(M33),M33&lt;&gt;"device")))</f>
        <v>0</v>
      </c>
      <c r="AT33" s="146">
        <f t="shared" ref="AT33:AT112" si="20">IF(AC33=0,0,AND(AD33=TRUE,AO33=FALSE,AS33=FALSE,M33&gt;0,M33&lt;&gt;"device",N33=0))</f>
        <v>0</v>
      </c>
      <c r="AU33" s="465">
        <f t="shared" ref="AU33:AU112" si="21">IF(AC33=0,0,AND(AD33=TRUE,AO33=FALSE,N33&gt;0,OR(M33=0,M33="device")))</f>
        <v>0</v>
      </c>
      <c r="AV33" s="463">
        <f t="shared" ref="AV33:AV112" si="22">IF(AC33=0,0,AND(AD33=TRUE,COUNTIF(AI33:AO33,TRUE)=0,COUNTIF(AQ33:AU33,TRUE)=0))</f>
        <v>0</v>
      </c>
      <c r="AW33" s="146">
        <f>IF(AC33=0,0,AND(OR(M33&gt;0,F33="internal"),AV33=TRUE))</f>
        <v>0</v>
      </c>
      <c r="AX33" s="177">
        <f>IF(AC33=0,0,COUNTIF(AI33:AO33,TRUE)+COUNTIF(AQ33:AU33,TRUE))</f>
        <v>0</v>
      </c>
      <c r="AY33" s="498" t="str">
        <f>IF(AF33=TRUE,AF$32&amp;" (OK if intentional)","")&amp;IF(AI33=TRUE,"! "&amp;AI$32&amp;" (but "&amp;AE33&amp;" input"&amp;IF(AE33=1,") ","s) "),"")&amp;IF(AJ33=TRUE,"! "&amp;AJ$32&amp;" ","")&amp;IF(AK33=TRUE,"! "&amp;AK$32&amp;" ","")&amp;IF(AL33=TRUE,"! "&amp;AL$32&amp;" ","")&amp;IF(AM33=TRUE,"! "&amp;AM$32&amp;" ","")&amp;IF(AN33=TRUE,"! "&amp;AN$32&amp;" ","")&amp;IF(AO33=TRUE,"! "&amp;AO$32&amp;" ","")&amp;IF(AND(AQ33=TRUE,AR33=TRUE),"! Total System U-value &amp; Total System SHGC needed ","")&amp;IF(AND(AQ33=TRUE,AR33=FALSE),"! "&amp;AQ$32&amp;" ","")&amp;IF(AND(AQ33=FALSE,AR33=TRUE),"! "&amp;AR$32&amp;" ","")&amp;IF(AS33=TRUE,"! "&amp;AS$32&amp;" ","")&amp;IF(AT33=TRUE,"! "&amp;AT$32&amp;" ","")&amp;IF(AU33=TRUE,IF(M33="device","! H not needed","! "&amp;AU$32),"")</f>
        <v/>
      </c>
      <c r="AZ33" s="463">
        <f t="shared" ref="AZ33:AZ112" si="23">IF(AC33=0,0,AND(H33&gt;0,N33-H33&gt;Glimit))</f>
        <v>0</v>
      </c>
      <c r="BA33" s="146">
        <f t="shared" ref="BA33:BA112" si="24">IF(AC33=0,0,AND(ISNUMBER(O33),O33&gt;2))</f>
        <v>0</v>
      </c>
      <c r="BB33" s="465">
        <f>IF(AC33=0,0,AND(AD33=TRUE,COUNT(H33:J33)=3,H33*I33&lt;&gt;J33))</f>
        <v>0</v>
      </c>
      <c r="BC33" s="466" t="b">
        <f t="shared" ref="BC33:BC112" si="25">AND(AllInputsOK=TRUE,COUNTIF(CA33:CB33,TRUE)&lt;&gt;0)</f>
        <v>0</v>
      </c>
      <c r="BD33" s="109"/>
      <c r="BE33" s="311">
        <f>IF(O33="",0,INDEX(PoverH,MATCH(O33,PoverH,1),1))</f>
        <v>0</v>
      </c>
      <c r="BF33" s="306">
        <f t="shared" ref="BF33:BF112" si="26">IF(O33="",0,IF(BE33=2,2,INDEX(PoverH,MATCH(O33,PoverH,1)+1,1)))</f>
        <v>0</v>
      </c>
      <c r="BG33" s="306">
        <f>BF33-BE33</f>
        <v>0</v>
      </c>
      <c r="BH33" s="312">
        <f t="shared" ref="BH33:BH112" si="27">IF(OR(O33="",BG33=0),0,(O33-BE33)/BG33)</f>
        <v>0</v>
      </c>
      <c r="BI33" s="308">
        <f t="shared" ref="BI33:BI112" si="28">IF(AC33=0,0,IF(AV33=TRUE,IF(ISBLANK(F33),G33,F33)))</f>
        <v>0</v>
      </c>
      <c r="BJ33" s="308">
        <f>IF(BI33="internal","S",BI33)</f>
        <v>0</v>
      </c>
      <c r="BK33" s="176">
        <f t="shared" ref="BK33:BK112" si="29">IF(P33&gt;Glimit,0,INDEX(Grows,MATCH(P33,Gsteps,-1),1))</f>
        <v>0</v>
      </c>
      <c r="BL33" s="321">
        <f t="shared" ref="BL33:BL112" si="30">IF(AND(AV33=TRUE,Zone=0),10,IF(OR(BJ33=0,BJ33=FALSE),0,INDEX(ShadingH,MATCH(BE33,PoverH,0)+BK33,MATCH(BJ33,Orientations,0),Zone)))</f>
        <v>0</v>
      </c>
      <c r="BM33" s="321">
        <f t="shared" ref="BM33:BM112" si="31">IF(AND(AV33=TRUE,Zone=0),10,IF(OR(BJ33=0,BJ33=FALSE),0,INDEX(ShadingH,MATCH(BF33,PoverH,0)+BK33,MATCH(BJ33,Orientations,0),Zone)))</f>
        <v>0</v>
      </c>
      <c r="BN33" s="321">
        <f>BL33-BM33</f>
        <v>0</v>
      </c>
      <c r="BO33" s="322">
        <f>BL33-BN33*BH33</f>
        <v>0</v>
      </c>
      <c r="BP33" s="323">
        <f t="shared" ref="BP33:BP112" si="32">IF(AND(AV33=TRUE,Zone=0),10,IF(OR(BJ33=0,BJ33=FALSE),0,INDEX(ShadingC,MATCH(BE33,PoverH,0)+BK33,MATCH(BJ33,Orientations,0),Zone)))</f>
        <v>0</v>
      </c>
      <c r="BQ33" s="321">
        <f t="shared" ref="BQ33:BQ112" si="33">IF(AND(AV33=TRUE,Zone=0),10,IF(OR(BJ33=0,BJ33=FALSE),0,INDEX(ShadingC,MATCH(BF33,PoverH,0)+BK33,MATCH(BJ33,Orientations,0),Zone)))</f>
        <v>0</v>
      </c>
      <c r="BR33" s="321">
        <f>BP33-BQ33</f>
        <v>0</v>
      </c>
      <c r="BS33" s="322">
        <f>BP33-BR33*BH33</f>
        <v>0</v>
      </c>
      <c r="BT33" s="10"/>
      <c r="BU33" s="286">
        <f t="shared" ref="BU33:BU112" si="34">IF(AV33=TRUE,S33*(L33*(INDEX(ZoneConstants,1,MATCH(BJ33,Orientations,0))*Q33+INDEX(ZoneConstants,2,MATCH(BJ33,Orientations,0))*R33)+INDEX(ZoneConstants,3,MATCH(BJ33,Orientations,0))*K33),0)</f>
        <v>0</v>
      </c>
      <c r="BV33" s="287">
        <f>IF(BU33&lt;0,0,BU33)</f>
        <v>0</v>
      </c>
      <c r="BW33" s="177">
        <f t="shared" ref="BW33:BW112" si="35">IF(AV33=TRUE,INDEX(IF(ISBLANK(G33),Allowances,AllowancesLowR),1,MATCH(IF(ISBLANK(G33),F33,G33),Orientations,0)),0)</f>
        <v>0</v>
      </c>
      <c r="BX33" s="292">
        <f t="shared" ref="BX33:BX112" si="36">IF(AV33=TRUE,ROUNDUP(INDEX(IF(ISBLANK(G33),Aggregates,AggregatesLowR),1,MATCH(IF(ISBLANK(G33),F33,G33),Orientations,0))/BW33,2),0)</f>
        <v>0</v>
      </c>
      <c r="BY33" s="293">
        <f t="shared" ref="BY33:BY112" si="37">IF(AV33=TRUE,IF(BV33=0,0,BV33/INDEX(IF(ISBLANK(G33),Aggregates,AggregatesLowR),1,MATCH(IF(ISBLANK(G33),F33,G33),Orientations,0))),0)</f>
        <v>0</v>
      </c>
      <c r="BZ33" s="10"/>
      <c r="CA33" s="194">
        <f t="shared" ref="CA33:CA112" si="38">IF(ISBLANK(F33),0,HLOOKUP(F33,hluNonComplying,2,FALSE))</f>
        <v>0</v>
      </c>
      <c r="CB33" s="195">
        <f t="shared" ref="CB33:CB112" si="39">IF(ISBLANK(G33),0,HLOOKUP(G33,hluNonComplyingLowR,2,FALSE))</f>
        <v>0</v>
      </c>
      <c r="CC33" s="99">
        <f>COUNTIF(CA33:CB33,TRUE)</f>
        <v>0</v>
      </c>
      <c r="CD33" s="299" t="str">
        <f t="shared" ref="CD33:CD112" si="40">IF(BV33=0,"",TEXT(BY33,IF(BY33&lt;0.005,"0.0%","0%"))&amp;" of "&amp;TEXT(BX33,"0%"))</f>
        <v/>
      </c>
      <c r="CE33" s="305"/>
      <c r="CF33" s="10"/>
      <c r="CG33" s="10"/>
      <c r="CH33" s="10"/>
      <c r="CI33" s="10"/>
      <c r="CJ33" s="10"/>
      <c r="CK33" s="10"/>
      <c r="CL33" s="10"/>
      <c r="CM33" s="10"/>
      <c r="CN33" s="10"/>
      <c r="CO33" s="10"/>
      <c r="CP33" s="10"/>
      <c r="CQ33" s="10"/>
      <c r="CR33" s="10"/>
      <c r="CS33" s="10"/>
      <c r="CT33" s="10"/>
      <c r="CU33" s="10"/>
    </row>
    <row r="34" spans="1:99" x14ac:dyDescent="0.2">
      <c r="A34" s="11"/>
      <c r="B34" s="522">
        <f t="shared" ref="B34:B112" si="41">Z34</f>
        <v>10</v>
      </c>
      <c r="C34" s="566">
        <v>2</v>
      </c>
      <c r="D34" s="621"/>
      <c r="E34" s="622"/>
      <c r="F34" s="564"/>
      <c r="G34" s="565"/>
      <c r="H34" s="581"/>
      <c r="I34" s="581"/>
      <c r="J34" s="569"/>
      <c r="K34" s="586"/>
      <c r="L34" s="587"/>
      <c r="M34" s="588"/>
      <c r="N34" s="589"/>
      <c r="O34" s="452" t="str">
        <f t="shared" ref="O34:O112" si="42">IF(AND(AV34=TRUE,AW34=TRUE),IF(OR(M34="device",F34="internal"),2,IF(AZ34=TRUE,0,1)*M34/N34),"")</f>
        <v/>
      </c>
      <c r="P34" s="453" t="str">
        <f t="shared" si="7"/>
        <v/>
      </c>
      <c r="Q34" s="499">
        <f t="shared" ref="Q34:Q112" si="43">IF(OR(ISERR(BO34),BO34=10),"",BO34)</f>
        <v>0</v>
      </c>
      <c r="R34" s="500">
        <f t="shared" ref="R34:R112" si="44">IF(OR(ISERR(BS34),BS34=10),"",BS34)</f>
        <v>0</v>
      </c>
      <c r="S34" s="454">
        <f t="shared" ref="S34:S112" si="45">MAX(H34*I34,J34)</f>
        <v>0</v>
      </c>
      <c r="T34" s="524" t="str">
        <f t="shared" si="8"/>
        <v/>
      </c>
      <c r="U34" s="11"/>
      <c r="V34" s="12"/>
      <c r="W34" s="10"/>
      <c r="X34" s="10"/>
      <c r="Y34" s="10">
        <v>2</v>
      </c>
      <c r="Z34" s="71">
        <f t="shared" si="9"/>
        <v>10</v>
      </c>
      <c r="AA34" s="71">
        <f t="shared" ref="AA34:AA71" si="46">IF(AD34=TRUE,1,0)</f>
        <v>0</v>
      </c>
      <c r="AB34" s="10"/>
      <c r="AC34" s="134">
        <f t="shared" ref="AC34:AC112" si="47">COUNTA(D34:N34)</f>
        <v>0</v>
      </c>
      <c r="AD34" s="135">
        <f>IF(SUM(AC34:AC$112)=0,0,COUNTA(F34:G34)&gt;0)</f>
        <v>0</v>
      </c>
      <c r="AE34" s="134">
        <f t="shared" ref="AE34:AE112" si="48">COUNTA(H34:N34)</f>
        <v>0</v>
      </c>
      <c r="AF34" s="475">
        <f>IF(SUM(AC34:AC$112)=0,0,AND(AD34=FALSE,AE34=0,SUM(AE35:AE$112)&gt;0))</f>
        <v>0</v>
      </c>
      <c r="AG34" s="152">
        <f t="shared" si="10"/>
        <v>0</v>
      </c>
      <c r="AH34" s="135">
        <f t="shared" si="11"/>
        <v>0</v>
      </c>
      <c r="AI34" s="135">
        <f t="shared" si="12"/>
        <v>0</v>
      </c>
      <c r="AJ34" s="135">
        <f t="shared" si="13"/>
        <v>0</v>
      </c>
      <c r="AK34" s="183">
        <f t="shared" si="14"/>
        <v>0</v>
      </c>
      <c r="AL34" s="135">
        <f t="shared" si="15"/>
        <v>0</v>
      </c>
      <c r="AM34" s="151">
        <f t="shared" si="16"/>
        <v>0</v>
      </c>
      <c r="AN34" s="152">
        <f t="shared" si="17"/>
        <v>0</v>
      </c>
      <c r="AO34" s="135">
        <f t="shared" si="18"/>
        <v>0</v>
      </c>
      <c r="AP34" s="146">
        <f t="shared" ref="AP34:AP112" si="49">IF(I34=0,0,H34*I34&lt;J34)</f>
        <v>0</v>
      </c>
      <c r="AQ34" s="152">
        <f t="shared" ref="AQ34:AQ112" si="50">IF(AC34=0,0,AND(AD34=TRUE,COUNTIF(AI34:AO34,TRUE)=0,COUNTIF(AS34:AU34,TRUE)=0,ISBLANK(K34)))</f>
        <v>0</v>
      </c>
      <c r="AR34" s="151">
        <f t="shared" ref="AR34:AR112" si="51">IF(AC34=0,0,AND(AD34=TRUE,COUNTIF(AI34:AO34,TRUE)=0,COUNTIF(AS34:AU34,TRUE)=0,ISBLANK(L34)))</f>
        <v>0</v>
      </c>
      <c r="AS34" s="152">
        <f t="shared" si="19"/>
        <v>0</v>
      </c>
      <c r="AT34" s="135">
        <f t="shared" si="20"/>
        <v>0</v>
      </c>
      <c r="AU34" s="151">
        <f t="shared" si="21"/>
        <v>0</v>
      </c>
      <c r="AV34" s="152">
        <f t="shared" si="22"/>
        <v>0</v>
      </c>
      <c r="AW34" s="135">
        <f t="shared" ref="AW34:AW112" si="52">IF(AC34=0,0,AND(OR(M34&gt;0,F34="internal"),AV34=TRUE))</f>
        <v>0</v>
      </c>
      <c r="AX34" s="134">
        <f t="shared" ref="AX34:AX112" si="53">IF(AC34=0,0,COUNTIF(AI34:AO34,TRUE)+COUNTIF(AQ34:AU34,TRUE))</f>
        <v>0</v>
      </c>
      <c r="AY34" s="498" t="str">
        <f t="shared" ref="AY34:AY97" si="54">IF(AF34=TRUE,AF$32&amp;" (OK if intentional)","")&amp;IF(AI34=TRUE,"! "&amp;AI$32&amp;" (but "&amp;AE34&amp;" input"&amp;IF(AE34=1,") ","s) "),"")&amp;IF(AJ34=TRUE,"! "&amp;AJ$32&amp;" ","")&amp;IF(AK34=TRUE,"! "&amp;AK$32&amp;" ","")&amp;IF(AL34=TRUE,"! "&amp;AL$32&amp;" ","")&amp;IF(AM34=TRUE,"! "&amp;AM$32&amp;" ","")&amp;IF(AN34=TRUE,"! "&amp;AN$32&amp;" ","")&amp;IF(AO34=TRUE,"! "&amp;AO$32&amp;" ","")&amp;IF(AND(AQ34=TRUE,AR34=TRUE),"! Total System U-value &amp; Total System SHGC needed ","")&amp;IF(AND(AQ34=TRUE,AR34=FALSE),"! "&amp;AQ$32&amp;" ","")&amp;IF(AND(AQ34=FALSE,AR34=TRUE),"! "&amp;AR$32&amp;" ","")&amp;IF(AS34=TRUE,"! "&amp;AS$32&amp;" ","")&amp;IF(AT34=TRUE,"! "&amp;AT$32&amp;" ","")&amp;IF(AU34=TRUE,IF(M34="device","! H not needed","! "&amp;AU$32),"")</f>
        <v/>
      </c>
      <c r="AZ34" s="152">
        <f t="shared" si="23"/>
        <v>0</v>
      </c>
      <c r="BA34" s="135">
        <f t="shared" si="24"/>
        <v>0</v>
      </c>
      <c r="BB34" s="151">
        <f t="shared" ref="BB34:BB112" si="55">IF(AC34=0,0,AND(AD34=TRUE,COUNT(H34:J34)=3,H34*I34&lt;&gt;J34))</f>
        <v>0</v>
      </c>
      <c r="BC34" s="301" t="b">
        <f t="shared" si="25"/>
        <v>0</v>
      </c>
      <c r="BD34" s="109"/>
      <c r="BE34" s="313">
        <f t="shared" ref="BE34:BE112" si="56">IF(O34="",0,INDEX(PoverH,MATCH(O34,PoverH,1),1))</f>
        <v>0</v>
      </c>
      <c r="BF34" s="314">
        <f t="shared" si="26"/>
        <v>0</v>
      </c>
      <c r="BG34" s="314">
        <f t="shared" ref="BG34:BG112" si="57">BF34-BE34</f>
        <v>0</v>
      </c>
      <c r="BH34" s="315">
        <f t="shared" si="27"/>
        <v>0</v>
      </c>
      <c r="BI34" s="308">
        <f t="shared" si="28"/>
        <v>0</v>
      </c>
      <c r="BJ34" s="308">
        <f t="shared" ref="BJ34:BJ112" si="58">IF(BI34="internal","S",BI34)</f>
        <v>0</v>
      </c>
      <c r="BK34" s="170">
        <f t="shared" si="29"/>
        <v>0</v>
      </c>
      <c r="BL34" s="324">
        <f t="shared" si="30"/>
        <v>0</v>
      </c>
      <c r="BM34" s="324">
        <f t="shared" si="31"/>
        <v>0</v>
      </c>
      <c r="BN34" s="324">
        <f t="shared" ref="BN34:BN112" si="59">BL34-BM34</f>
        <v>0</v>
      </c>
      <c r="BO34" s="325">
        <f t="shared" ref="BO34:BO112" si="60">BL34-BN34*BH34</f>
        <v>0</v>
      </c>
      <c r="BP34" s="326">
        <f t="shared" si="32"/>
        <v>0</v>
      </c>
      <c r="BQ34" s="324">
        <f t="shared" si="33"/>
        <v>0</v>
      </c>
      <c r="BR34" s="324">
        <f t="shared" ref="BR34:BR112" si="61">BP34-BQ34</f>
        <v>0</v>
      </c>
      <c r="BS34" s="325">
        <f t="shared" ref="BS34:BS112" si="62">BP34-BR34*BH34</f>
        <v>0</v>
      </c>
      <c r="BT34" s="10"/>
      <c r="BU34" s="288">
        <f t="shared" si="34"/>
        <v>0</v>
      </c>
      <c r="BV34" s="289">
        <f t="shared" ref="BV34:BV112" si="63">IF(BU34&lt;0,0,BU34)</f>
        <v>0</v>
      </c>
      <c r="BW34" s="134">
        <f t="shared" si="35"/>
        <v>0</v>
      </c>
      <c r="BX34" s="294">
        <f t="shared" si="36"/>
        <v>0</v>
      </c>
      <c r="BY34" s="295">
        <f t="shared" si="37"/>
        <v>0</v>
      </c>
      <c r="BZ34" s="10"/>
      <c r="CA34" s="190">
        <f t="shared" si="38"/>
        <v>0</v>
      </c>
      <c r="CB34" s="191">
        <f t="shared" si="39"/>
        <v>0</v>
      </c>
      <c r="CC34" s="99">
        <f t="shared" ref="CC34:CC112" si="64">COUNTIF(CA34:CB34,TRUE)</f>
        <v>0</v>
      </c>
      <c r="CD34" s="299" t="str">
        <f t="shared" si="40"/>
        <v/>
      </c>
      <c r="CE34" s="305"/>
      <c r="CF34" s="10"/>
      <c r="CG34" s="10"/>
      <c r="CH34" s="10"/>
      <c r="CI34" s="10"/>
      <c r="CJ34" s="10"/>
      <c r="CK34" s="10"/>
      <c r="CL34" s="10"/>
      <c r="CM34" s="10"/>
      <c r="CN34" s="10"/>
      <c r="CO34" s="10"/>
      <c r="CP34" s="10"/>
      <c r="CQ34" s="10"/>
      <c r="CR34" s="10"/>
      <c r="CS34" s="10"/>
      <c r="CT34" s="10"/>
      <c r="CU34" s="10"/>
    </row>
    <row r="35" spans="1:99" x14ac:dyDescent="0.2">
      <c r="A35" s="11"/>
      <c r="B35" s="522">
        <f t="shared" si="41"/>
        <v>10</v>
      </c>
      <c r="C35" s="566">
        <v>3</v>
      </c>
      <c r="D35" s="621"/>
      <c r="E35" s="622"/>
      <c r="F35" s="564"/>
      <c r="G35" s="565"/>
      <c r="H35" s="581"/>
      <c r="I35" s="581"/>
      <c r="J35" s="569"/>
      <c r="K35" s="586"/>
      <c r="L35" s="587"/>
      <c r="M35" s="588"/>
      <c r="N35" s="589"/>
      <c r="O35" s="452" t="str">
        <f t="shared" si="42"/>
        <v/>
      </c>
      <c r="P35" s="453" t="str">
        <f t="shared" si="7"/>
        <v/>
      </c>
      <c r="Q35" s="499">
        <f t="shared" si="43"/>
        <v>0</v>
      </c>
      <c r="R35" s="500">
        <f t="shared" si="44"/>
        <v>0</v>
      </c>
      <c r="S35" s="454">
        <f t="shared" si="45"/>
        <v>0</v>
      </c>
      <c r="T35" s="524" t="str">
        <f t="shared" si="8"/>
        <v/>
      </c>
      <c r="U35" s="11"/>
      <c r="V35" s="12"/>
      <c r="W35" s="10"/>
      <c r="X35" s="10"/>
      <c r="Y35" s="10">
        <v>3</v>
      </c>
      <c r="Z35" s="71">
        <f t="shared" si="9"/>
        <v>10</v>
      </c>
      <c r="AA35" s="71">
        <f t="shared" si="46"/>
        <v>0</v>
      </c>
      <c r="AB35" s="10"/>
      <c r="AC35" s="134">
        <f t="shared" si="47"/>
        <v>0</v>
      </c>
      <c r="AD35" s="135">
        <f>IF(SUM(AC35:AC$112)=0,0,COUNTA(F35:G35)&gt;0)</f>
        <v>0</v>
      </c>
      <c r="AE35" s="134">
        <f t="shared" si="48"/>
        <v>0</v>
      </c>
      <c r="AF35" s="475">
        <f>IF(SUM(AC35:AC$112)=0,0,AND(AD35=FALSE,AE35=0,SUM(AE36:AE$112)&gt;0))</f>
        <v>0</v>
      </c>
      <c r="AG35" s="152">
        <f t="shared" si="10"/>
        <v>0</v>
      </c>
      <c r="AH35" s="135">
        <f t="shared" si="11"/>
        <v>0</v>
      </c>
      <c r="AI35" s="135">
        <f t="shared" si="12"/>
        <v>0</v>
      </c>
      <c r="AJ35" s="135">
        <f t="shared" si="13"/>
        <v>0</v>
      </c>
      <c r="AK35" s="183">
        <f t="shared" si="14"/>
        <v>0</v>
      </c>
      <c r="AL35" s="135">
        <f t="shared" si="15"/>
        <v>0</v>
      </c>
      <c r="AM35" s="151">
        <f t="shared" si="16"/>
        <v>0</v>
      </c>
      <c r="AN35" s="152">
        <f t="shared" si="17"/>
        <v>0</v>
      </c>
      <c r="AO35" s="135">
        <f t="shared" si="18"/>
        <v>0</v>
      </c>
      <c r="AP35" s="146">
        <f t="shared" si="49"/>
        <v>0</v>
      </c>
      <c r="AQ35" s="152">
        <f t="shared" si="50"/>
        <v>0</v>
      </c>
      <c r="AR35" s="151">
        <f t="shared" si="51"/>
        <v>0</v>
      </c>
      <c r="AS35" s="152">
        <f t="shared" si="19"/>
        <v>0</v>
      </c>
      <c r="AT35" s="135">
        <f t="shared" si="20"/>
        <v>0</v>
      </c>
      <c r="AU35" s="151">
        <f t="shared" si="21"/>
        <v>0</v>
      </c>
      <c r="AV35" s="152">
        <f t="shared" si="22"/>
        <v>0</v>
      </c>
      <c r="AW35" s="135">
        <f t="shared" si="52"/>
        <v>0</v>
      </c>
      <c r="AX35" s="134">
        <f t="shared" si="53"/>
        <v>0</v>
      </c>
      <c r="AY35" s="498" t="str">
        <f t="shared" si="54"/>
        <v/>
      </c>
      <c r="AZ35" s="152">
        <f t="shared" si="23"/>
        <v>0</v>
      </c>
      <c r="BA35" s="135">
        <f t="shared" si="24"/>
        <v>0</v>
      </c>
      <c r="BB35" s="151">
        <f t="shared" si="55"/>
        <v>0</v>
      </c>
      <c r="BC35" s="301" t="b">
        <f t="shared" si="25"/>
        <v>0</v>
      </c>
      <c r="BD35" s="109"/>
      <c r="BE35" s="313">
        <f t="shared" si="56"/>
        <v>0</v>
      </c>
      <c r="BF35" s="314">
        <f t="shared" si="26"/>
        <v>0</v>
      </c>
      <c r="BG35" s="314">
        <f t="shared" si="57"/>
        <v>0</v>
      </c>
      <c r="BH35" s="315">
        <f t="shared" si="27"/>
        <v>0</v>
      </c>
      <c r="BI35" s="308">
        <f t="shared" si="28"/>
        <v>0</v>
      </c>
      <c r="BJ35" s="308">
        <f t="shared" si="58"/>
        <v>0</v>
      </c>
      <c r="BK35" s="170">
        <f t="shared" si="29"/>
        <v>0</v>
      </c>
      <c r="BL35" s="324">
        <f t="shared" si="30"/>
        <v>0</v>
      </c>
      <c r="BM35" s="324">
        <f t="shared" si="31"/>
        <v>0</v>
      </c>
      <c r="BN35" s="324">
        <f t="shared" si="59"/>
        <v>0</v>
      </c>
      <c r="BO35" s="325">
        <f t="shared" si="60"/>
        <v>0</v>
      </c>
      <c r="BP35" s="326">
        <f t="shared" si="32"/>
        <v>0</v>
      </c>
      <c r="BQ35" s="324">
        <f t="shared" si="33"/>
        <v>0</v>
      </c>
      <c r="BR35" s="324">
        <f t="shared" si="61"/>
        <v>0</v>
      </c>
      <c r="BS35" s="325">
        <f t="shared" si="62"/>
        <v>0</v>
      </c>
      <c r="BT35" s="10"/>
      <c r="BU35" s="288">
        <f t="shared" si="34"/>
        <v>0</v>
      </c>
      <c r="BV35" s="289">
        <f t="shared" si="63"/>
        <v>0</v>
      </c>
      <c r="BW35" s="134">
        <f t="shared" si="35"/>
        <v>0</v>
      </c>
      <c r="BX35" s="294">
        <f t="shared" si="36"/>
        <v>0</v>
      </c>
      <c r="BY35" s="295">
        <f t="shared" si="37"/>
        <v>0</v>
      </c>
      <c r="BZ35" s="10"/>
      <c r="CA35" s="190">
        <f t="shared" si="38"/>
        <v>0</v>
      </c>
      <c r="CB35" s="191">
        <f t="shared" si="39"/>
        <v>0</v>
      </c>
      <c r="CC35" s="99">
        <f t="shared" si="64"/>
        <v>0</v>
      </c>
      <c r="CD35" s="299" t="str">
        <f t="shared" si="40"/>
        <v/>
      </c>
      <c r="CE35" s="305"/>
      <c r="CF35" s="10"/>
      <c r="CG35" s="10"/>
      <c r="CH35" s="10"/>
      <c r="CI35" s="10"/>
      <c r="CJ35" s="10"/>
      <c r="CK35" s="10"/>
      <c r="CL35" s="10"/>
      <c r="CM35" s="10"/>
      <c r="CN35" s="10"/>
      <c r="CO35" s="10"/>
      <c r="CP35" s="10"/>
      <c r="CQ35" s="10"/>
      <c r="CR35" s="10"/>
      <c r="CS35" s="10"/>
      <c r="CT35" s="10"/>
      <c r="CU35" s="10"/>
    </row>
    <row r="36" spans="1:99" x14ac:dyDescent="0.2">
      <c r="A36" s="11"/>
      <c r="B36" s="522">
        <f t="shared" si="41"/>
        <v>10</v>
      </c>
      <c r="C36" s="566">
        <v>4</v>
      </c>
      <c r="D36" s="616"/>
      <c r="E36" s="620"/>
      <c r="F36" s="564"/>
      <c r="G36" s="565"/>
      <c r="H36" s="581"/>
      <c r="I36" s="581"/>
      <c r="J36" s="569"/>
      <c r="K36" s="586"/>
      <c r="L36" s="587"/>
      <c r="M36" s="588"/>
      <c r="N36" s="589"/>
      <c r="O36" s="452" t="str">
        <f t="shared" si="42"/>
        <v/>
      </c>
      <c r="P36" s="453" t="str">
        <f t="shared" si="7"/>
        <v/>
      </c>
      <c r="Q36" s="499">
        <f t="shared" si="43"/>
        <v>0</v>
      </c>
      <c r="R36" s="500">
        <f t="shared" si="44"/>
        <v>0</v>
      </c>
      <c r="S36" s="454">
        <f t="shared" si="45"/>
        <v>0</v>
      </c>
      <c r="T36" s="524" t="str">
        <f t="shared" si="8"/>
        <v/>
      </c>
      <c r="U36" s="11"/>
      <c r="V36" s="12"/>
      <c r="W36" s="10"/>
      <c r="X36" s="10"/>
      <c r="Y36" s="10">
        <v>4</v>
      </c>
      <c r="Z36" s="71">
        <f t="shared" si="9"/>
        <v>10</v>
      </c>
      <c r="AA36" s="71">
        <f t="shared" si="46"/>
        <v>0</v>
      </c>
      <c r="AB36" s="10"/>
      <c r="AC36" s="134">
        <f t="shared" si="47"/>
        <v>0</v>
      </c>
      <c r="AD36" s="135">
        <f>IF(SUM(AC36:AC$112)=0,0,COUNTA(F36:G36)&gt;0)</f>
        <v>0</v>
      </c>
      <c r="AE36" s="134">
        <f t="shared" si="48"/>
        <v>0</v>
      </c>
      <c r="AF36" s="475">
        <f>IF(SUM(AC36:AC$112)=0,0,AND(AD36=FALSE,AE36=0,SUM(AE37:AE$112)&gt;0))</f>
        <v>0</v>
      </c>
      <c r="AG36" s="152">
        <f t="shared" si="10"/>
        <v>0</v>
      </c>
      <c r="AH36" s="135">
        <f t="shared" si="11"/>
        <v>0</v>
      </c>
      <c r="AI36" s="135">
        <f t="shared" si="12"/>
        <v>0</v>
      </c>
      <c r="AJ36" s="135">
        <f t="shared" si="13"/>
        <v>0</v>
      </c>
      <c r="AK36" s="183">
        <f t="shared" si="14"/>
        <v>0</v>
      </c>
      <c r="AL36" s="135">
        <f t="shared" si="15"/>
        <v>0</v>
      </c>
      <c r="AM36" s="151">
        <f t="shared" si="16"/>
        <v>0</v>
      </c>
      <c r="AN36" s="152">
        <f t="shared" si="17"/>
        <v>0</v>
      </c>
      <c r="AO36" s="135">
        <f t="shared" si="18"/>
        <v>0</v>
      </c>
      <c r="AP36" s="146">
        <f t="shared" si="49"/>
        <v>0</v>
      </c>
      <c r="AQ36" s="152">
        <f t="shared" si="50"/>
        <v>0</v>
      </c>
      <c r="AR36" s="151">
        <f t="shared" si="51"/>
        <v>0</v>
      </c>
      <c r="AS36" s="152">
        <f t="shared" si="19"/>
        <v>0</v>
      </c>
      <c r="AT36" s="135">
        <f t="shared" si="20"/>
        <v>0</v>
      </c>
      <c r="AU36" s="151">
        <f t="shared" si="21"/>
        <v>0</v>
      </c>
      <c r="AV36" s="152">
        <f t="shared" si="22"/>
        <v>0</v>
      </c>
      <c r="AW36" s="135">
        <f t="shared" si="52"/>
        <v>0</v>
      </c>
      <c r="AX36" s="134">
        <f t="shared" si="53"/>
        <v>0</v>
      </c>
      <c r="AY36" s="498" t="str">
        <f t="shared" si="54"/>
        <v/>
      </c>
      <c r="AZ36" s="152">
        <f t="shared" si="23"/>
        <v>0</v>
      </c>
      <c r="BA36" s="135">
        <f t="shared" si="24"/>
        <v>0</v>
      </c>
      <c r="BB36" s="151">
        <f t="shared" si="55"/>
        <v>0</v>
      </c>
      <c r="BC36" s="301" t="b">
        <f t="shared" si="25"/>
        <v>0</v>
      </c>
      <c r="BD36" s="109"/>
      <c r="BE36" s="313">
        <f t="shared" si="56"/>
        <v>0</v>
      </c>
      <c r="BF36" s="314">
        <f t="shared" si="26"/>
        <v>0</v>
      </c>
      <c r="BG36" s="314">
        <f t="shared" si="57"/>
        <v>0</v>
      </c>
      <c r="BH36" s="315">
        <f t="shared" si="27"/>
        <v>0</v>
      </c>
      <c r="BI36" s="308">
        <f t="shared" si="28"/>
        <v>0</v>
      </c>
      <c r="BJ36" s="308">
        <f t="shared" si="58"/>
        <v>0</v>
      </c>
      <c r="BK36" s="170">
        <f t="shared" si="29"/>
        <v>0</v>
      </c>
      <c r="BL36" s="324">
        <f t="shared" si="30"/>
        <v>0</v>
      </c>
      <c r="BM36" s="324">
        <f t="shared" si="31"/>
        <v>0</v>
      </c>
      <c r="BN36" s="324">
        <f t="shared" si="59"/>
        <v>0</v>
      </c>
      <c r="BO36" s="325">
        <f t="shared" si="60"/>
        <v>0</v>
      </c>
      <c r="BP36" s="326">
        <f t="shared" si="32"/>
        <v>0</v>
      </c>
      <c r="BQ36" s="324">
        <f t="shared" si="33"/>
        <v>0</v>
      </c>
      <c r="BR36" s="324">
        <f t="shared" si="61"/>
        <v>0</v>
      </c>
      <c r="BS36" s="325">
        <f t="shared" si="62"/>
        <v>0</v>
      </c>
      <c r="BT36" s="10"/>
      <c r="BU36" s="288">
        <f t="shared" si="34"/>
        <v>0</v>
      </c>
      <c r="BV36" s="289">
        <f t="shared" si="63"/>
        <v>0</v>
      </c>
      <c r="BW36" s="134">
        <f t="shared" si="35"/>
        <v>0</v>
      </c>
      <c r="BX36" s="294">
        <f t="shared" si="36"/>
        <v>0</v>
      </c>
      <c r="BY36" s="295">
        <f t="shared" si="37"/>
        <v>0</v>
      </c>
      <c r="BZ36" s="10"/>
      <c r="CA36" s="190">
        <f t="shared" si="38"/>
        <v>0</v>
      </c>
      <c r="CB36" s="191">
        <f t="shared" si="39"/>
        <v>0</v>
      </c>
      <c r="CC36" s="99">
        <f t="shared" si="64"/>
        <v>0</v>
      </c>
      <c r="CD36" s="299" t="str">
        <f>IF(BV36=0,"",TEXT(BY36,IF(BY36&lt;0.005,"0.0%","0%"))&amp;" of "&amp;TEXT(BX36,"0%"))</f>
        <v/>
      </c>
      <c r="CE36" s="305"/>
      <c r="CF36" s="10"/>
      <c r="CG36" s="10"/>
      <c r="CH36" s="10"/>
      <c r="CI36" s="10"/>
      <c r="CJ36" s="10"/>
      <c r="CK36" s="10"/>
      <c r="CL36" s="10"/>
      <c r="CM36" s="10"/>
      <c r="CN36" s="10"/>
      <c r="CO36" s="10"/>
      <c r="CP36" s="10"/>
      <c r="CQ36" s="10"/>
      <c r="CR36" s="10"/>
      <c r="CS36" s="10"/>
      <c r="CT36" s="10"/>
      <c r="CU36" s="10"/>
    </row>
    <row r="37" spans="1:99" x14ac:dyDescent="0.2">
      <c r="A37" s="11"/>
      <c r="B37" s="522">
        <f t="shared" si="41"/>
        <v>10</v>
      </c>
      <c r="C37" s="566">
        <v>5</v>
      </c>
      <c r="D37" s="621"/>
      <c r="E37" s="620"/>
      <c r="F37" s="564"/>
      <c r="G37" s="565"/>
      <c r="H37" s="581"/>
      <c r="I37" s="581"/>
      <c r="J37" s="569"/>
      <c r="K37" s="586"/>
      <c r="L37" s="587"/>
      <c r="M37" s="588"/>
      <c r="N37" s="589"/>
      <c r="O37" s="452" t="str">
        <f t="shared" si="42"/>
        <v/>
      </c>
      <c r="P37" s="453" t="str">
        <f t="shared" si="7"/>
        <v/>
      </c>
      <c r="Q37" s="499">
        <f t="shared" si="43"/>
        <v>0</v>
      </c>
      <c r="R37" s="500">
        <f t="shared" si="44"/>
        <v>0</v>
      </c>
      <c r="S37" s="454">
        <f t="shared" si="45"/>
        <v>0</v>
      </c>
      <c r="T37" s="524" t="str">
        <f t="shared" si="8"/>
        <v/>
      </c>
      <c r="U37" s="11"/>
      <c r="V37" s="12"/>
      <c r="W37" s="10"/>
      <c r="X37" s="10"/>
      <c r="Y37" s="10">
        <v>5</v>
      </c>
      <c r="Z37" s="71">
        <f t="shared" si="9"/>
        <v>10</v>
      </c>
      <c r="AA37" s="71">
        <f t="shared" si="46"/>
        <v>0</v>
      </c>
      <c r="AB37" s="10"/>
      <c r="AC37" s="134">
        <f t="shared" si="47"/>
        <v>0</v>
      </c>
      <c r="AD37" s="135">
        <f>IF(SUM(AC37:AC$112)=0,0,COUNTA(F37:G37)&gt;0)</f>
        <v>0</v>
      </c>
      <c r="AE37" s="134">
        <f t="shared" si="48"/>
        <v>0</v>
      </c>
      <c r="AF37" s="475">
        <f>IF(SUM(AC37:AC$112)=0,0,AND(AD37=FALSE,AE37=0,SUM(AE38:AE$112)&gt;0))</f>
        <v>0</v>
      </c>
      <c r="AG37" s="152">
        <f t="shared" si="10"/>
        <v>0</v>
      </c>
      <c r="AH37" s="135">
        <f t="shared" si="11"/>
        <v>0</v>
      </c>
      <c r="AI37" s="135">
        <f t="shared" si="12"/>
        <v>0</v>
      </c>
      <c r="AJ37" s="135">
        <f t="shared" si="13"/>
        <v>0</v>
      </c>
      <c r="AK37" s="183">
        <f t="shared" si="14"/>
        <v>0</v>
      </c>
      <c r="AL37" s="135">
        <f t="shared" si="15"/>
        <v>0</v>
      </c>
      <c r="AM37" s="151">
        <f t="shared" si="16"/>
        <v>0</v>
      </c>
      <c r="AN37" s="152">
        <f t="shared" si="17"/>
        <v>0</v>
      </c>
      <c r="AO37" s="135">
        <f t="shared" si="18"/>
        <v>0</v>
      </c>
      <c r="AP37" s="146">
        <f t="shared" si="49"/>
        <v>0</v>
      </c>
      <c r="AQ37" s="152">
        <f t="shared" si="50"/>
        <v>0</v>
      </c>
      <c r="AR37" s="151">
        <f t="shared" si="51"/>
        <v>0</v>
      </c>
      <c r="AS37" s="152">
        <f t="shared" si="19"/>
        <v>0</v>
      </c>
      <c r="AT37" s="135">
        <f t="shared" si="20"/>
        <v>0</v>
      </c>
      <c r="AU37" s="151">
        <f t="shared" si="21"/>
        <v>0</v>
      </c>
      <c r="AV37" s="152">
        <f t="shared" si="22"/>
        <v>0</v>
      </c>
      <c r="AW37" s="135">
        <f t="shared" si="52"/>
        <v>0</v>
      </c>
      <c r="AX37" s="134">
        <f t="shared" si="53"/>
        <v>0</v>
      </c>
      <c r="AY37" s="498" t="str">
        <f t="shared" si="54"/>
        <v/>
      </c>
      <c r="AZ37" s="152">
        <f t="shared" si="23"/>
        <v>0</v>
      </c>
      <c r="BA37" s="135">
        <f t="shared" si="24"/>
        <v>0</v>
      </c>
      <c r="BB37" s="151">
        <f t="shared" si="55"/>
        <v>0</v>
      </c>
      <c r="BC37" s="301" t="b">
        <f t="shared" si="25"/>
        <v>0</v>
      </c>
      <c r="BD37" s="109"/>
      <c r="BE37" s="313">
        <f t="shared" si="56"/>
        <v>0</v>
      </c>
      <c r="BF37" s="314">
        <f t="shared" si="26"/>
        <v>0</v>
      </c>
      <c r="BG37" s="314">
        <f t="shared" si="57"/>
        <v>0</v>
      </c>
      <c r="BH37" s="315">
        <f t="shared" si="27"/>
        <v>0</v>
      </c>
      <c r="BI37" s="308">
        <f t="shared" si="28"/>
        <v>0</v>
      </c>
      <c r="BJ37" s="308">
        <f t="shared" si="58"/>
        <v>0</v>
      </c>
      <c r="BK37" s="170">
        <f t="shared" si="29"/>
        <v>0</v>
      </c>
      <c r="BL37" s="324">
        <f t="shared" si="30"/>
        <v>0</v>
      </c>
      <c r="BM37" s="324">
        <f t="shared" si="31"/>
        <v>0</v>
      </c>
      <c r="BN37" s="324">
        <f t="shared" si="59"/>
        <v>0</v>
      </c>
      <c r="BO37" s="325">
        <f t="shared" si="60"/>
        <v>0</v>
      </c>
      <c r="BP37" s="326">
        <f t="shared" si="32"/>
        <v>0</v>
      </c>
      <c r="BQ37" s="324">
        <f t="shared" si="33"/>
        <v>0</v>
      </c>
      <c r="BR37" s="324">
        <f t="shared" si="61"/>
        <v>0</v>
      </c>
      <c r="BS37" s="325">
        <f t="shared" si="62"/>
        <v>0</v>
      </c>
      <c r="BT37" s="10"/>
      <c r="BU37" s="288">
        <f t="shared" si="34"/>
        <v>0</v>
      </c>
      <c r="BV37" s="289">
        <f t="shared" si="63"/>
        <v>0</v>
      </c>
      <c r="BW37" s="134">
        <f t="shared" si="35"/>
        <v>0</v>
      </c>
      <c r="BX37" s="294">
        <f t="shared" si="36"/>
        <v>0</v>
      </c>
      <c r="BY37" s="295">
        <f t="shared" si="37"/>
        <v>0</v>
      </c>
      <c r="BZ37" s="10"/>
      <c r="CA37" s="190">
        <f t="shared" si="38"/>
        <v>0</v>
      </c>
      <c r="CB37" s="191">
        <f t="shared" si="39"/>
        <v>0</v>
      </c>
      <c r="CC37" s="99">
        <f t="shared" si="64"/>
        <v>0</v>
      </c>
      <c r="CD37" s="299" t="str">
        <f t="shared" si="40"/>
        <v/>
      </c>
      <c r="CE37" s="305"/>
      <c r="CF37" s="10"/>
      <c r="CG37" s="10"/>
      <c r="CH37" s="10"/>
      <c r="CI37" s="10"/>
      <c r="CJ37" s="10"/>
      <c r="CK37" s="10"/>
      <c r="CL37" s="10"/>
      <c r="CM37" s="10"/>
      <c r="CN37" s="10"/>
      <c r="CO37" s="10"/>
      <c r="CP37" s="10"/>
      <c r="CQ37" s="10"/>
      <c r="CR37" s="10"/>
      <c r="CS37" s="10"/>
      <c r="CT37" s="10"/>
      <c r="CU37" s="10"/>
    </row>
    <row r="38" spans="1:99" x14ac:dyDescent="0.2">
      <c r="A38" s="11"/>
      <c r="B38" s="522">
        <f t="shared" si="41"/>
        <v>10</v>
      </c>
      <c r="C38" s="566">
        <v>6</v>
      </c>
      <c r="D38" s="616"/>
      <c r="E38" s="620"/>
      <c r="F38" s="564"/>
      <c r="G38" s="565"/>
      <c r="H38" s="581"/>
      <c r="I38" s="581"/>
      <c r="J38" s="569"/>
      <c r="K38" s="586"/>
      <c r="L38" s="587"/>
      <c r="M38" s="588"/>
      <c r="N38" s="589"/>
      <c r="O38" s="452" t="str">
        <f t="shared" si="42"/>
        <v/>
      </c>
      <c r="P38" s="453" t="str">
        <f t="shared" si="7"/>
        <v/>
      </c>
      <c r="Q38" s="499">
        <f t="shared" si="43"/>
        <v>0</v>
      </c>
      <c r="R38" s="500">
        <f t="shared" si="44"/>
        <v>0</v>
      </c>
      <c r="S38" s="454">
        <f t="shared" si="45"/>
        <v>0</v>
      </c>
      <c r="T38" s="524" t="str">
        <f t="shared" si="8"/>
        <v/>
      </c>
      <c r="U38" s="11"/>
      <c r="V38" s="12"/>
      <c r="W38" s="10"/>
      <c r="X38" s="10"/>
      <c r="Y38" s="10">
        <v>6</v>
      </c>
      <c r="Z38" s="71">
        <f t="shared" si="9"/>
        <v>10</v>
      </c>
      <c r="AA38" s="71">
        <f t="shared" si="46"/>
        <v>0</v>
      </c>
      <c r="AB38" s="10"/>
      <c r="AC38" s="134">
        <f t="shared" si="47"/>
        <v>0</v>
      </c>
      <c r="AD38" s="135">
        <f>IF(SUM(AC38:AC$112)=0,0,COUNTA(F38:G38)&gt;0)</f>
        <v>0</v>
      </c>
      <c r="AE38" s="134">
        <f t="shared" si="48"/>
        <v>0</v>
      </c>
      <c r="AF38" s="475">
        <f>IF(SUM(AC38:AC$112)=0,0,AND(AD38=FALSE,AE38=0,SUM(AE39:AE$112)&gt;0))</f>
        <v>0</v>
      </c>
      <c r="AG38" s="152">
        <f t="shared" si="10"/>
        <v>0</v>
      </c>
      <c r="AH38" s="135">
        <f t="shared" si="11"/>
        <v>0</v>
      </c>
      <c r="AI38" s="135">
        <f t="shared" si="12"/>
        <v>0</v>
      </c>
      <c r="AJ38" s="135">
        <f t="shared" si="13"/>
        <v>0</v>
      </c>
      <c r="AK38" s="183">
        <f t="shared" si="14"/>
        <v>0</v>
      </c>
      <c r="AL38" s="135">
        <f t="shared" si="15"/>
        <v>0</v>
      </c>
      <c r="AM38" s="151">
        <f t="shared" si="16"/>
        <v>0</v>
      </c>
      <c r="AN38" s="152">
        <f t="shared" si="17"/>
        <v>0</v>
      </c>
      <c r="AO38" s="135">
        <f t="shared" si="18"/>
        <v>0</v>
      </c>
      <c r="AP38" s="146">
        <f t="shared" si="49"/>
        <v>0</v>
      </c>
      <c r="AQ38" s="152">
        <f t="shared" si="50"/>
        <v>0</v>
      </c>
      <c r="AR38" s="151">
        <f t="shared" si="51"/>
        <v>0</v>
      </c>
      <c r="AS38" s="152">
        <f t="shared" si="19"/>
        <v>0</v>
      </c>
      <c r="AT38" s="135">
        <f t="shared" si="20"/>
        <v>0</v>
      </c>
      <c r="AU38" s="151">
        <f t="shared" si="21"/>
        <v>0</v>
      </c>
      <c r="AV38" s="152">
        <f t="shared" si="22"/>
        <v>0</v>
      </c>
      <c r="AW38" s="135">
        <f t="shared" si="52"/>
        <v>0</v>
      </c>
      <c r="AX38" s="134">
        <f t="shared" si="53"/>
        <v>0</v>
      </c>
      <c r="AY38" s="498" t="str">
        <f t="shared" si="54"/>
        <v/>
      </c>
      <c r="AZ38" s="152">
        <f t="shared" si="23"/>
        <v>0</v>
      </c>
      <c r="BA38" s="135">
        <f t="shared" si="24"/>
        <v>0</v>
      </c>
      <c r="BB38" s="151">
        <f t="shared" si="55"/>
        <v>0</v>
      </c>
      <c r="BC38" s="301" t="b">
        <f t="shared" si="25"/>
        <v>0</v>
      </c>
      <c r="BD38" s="109"/>
      <c r="BE38" s="313">
        <f t="shared" si="56"/>
        <v>0</v>
      </c>
      <c r="BF38" s="314">
        <f t="shared" si="26"/>
        <v>0</v>
      </c>
      <c r="BG38" s="314">
        <f t="shared" si="57"/>
        <v>0</v>
      </c>
      <c r="BH38" s="315">
        <f t="shared" si="27"/>
        <v>0</v>
      </c>
      <c r="BI38" s="308">
        <f t="shared" si="28"/>
        <v>0</v>
      </c>
      <c r="BJ38" s="308">
        <f t="shared" si="58"/>
        <v>0</v>
      </c>
      <c r="BK38" s="170">
        <f t="shared" si="29"/>
        <v>0</v>
      </c>
      <c r="BL38" s="324">
        <f t="shared" si="30"/>
        <v>0</v>
      </c>
      <c r="BM38" s="324">
        <f t="shared" si="31"/>
        <v>0</v>
      </c>
      <c r="BN38" s="324">
        <f t="shared" si="59"/>
        <v>0</v>
      </c>
      <c r="BO38" s="325">
        <f t="shared" si="60"/>
        <v>0</v>
      </c>
      <c r="BP38" s="326">
        <f t="shared" si="32"/>
        <v>0</v>
      </c>
      <c r="BQ38" s="324">
        <f t="shared" si="33"/>
        <v>0</v>
      </c>
      <c r="BR38" s="324">
        <f t="shared" si="61"/>
        <v>0</v>
      </c>
      <c r="BS38" s="325">
        <f t="shared" si="62"/>
        <v>0</v>
      </c>
      <c r="BT38" s="10"/>
      <c r="BU38" s="288">
        <f t="shared" si="34"/>
        <v>0</v>
      </c>
      <c r="BV38" s="289">
        <f t="shared" si="63"/>
        <v>0</v>
      </c>
      <c r="BW38" s="134">
        <f t="shared" si="35"/>
        <v>0</v>
      </c>
      <c r="BX38" s="294">
        <f t="shared" si="36"/>
        <v>0</v>
      </c>
      <c r="BY38" s="295">
        <f t="shared" si="37"/>
        <v>0</v>
      </c>
      <c r="BZ38" s="10"/>
      <c r="CA38" s="190">
        <f t="shared" si="38"/>
        <v>0</v>
      </c>
      <c r="CB38" s="191">
        <f t="shared" si="39"/>
        <v>0</v>
      </c>
      <c r="CC38" s="99">
        <f t="shared" si="64"/>
        <v>0</v>
      </c>
      <c r="CD38" s="299" t="str">
        <f t="shared" si="40"/>
        <v/>
      </c>
      <c r="CE38" s="305"/>
      <c r="CF38" s="10"/>
      <c r="CG38" s="10"/>
      <c r="CH38" s="10"/>
      <c r="CI38" s="10"/>
      <c r="CJ38" s="10"/>
      <c r="CK38" s="10"/>
      <c r="CL38" s="10"/>
      <c r="CM38" s="10"/>
      <c r="CN38" s="10"/>
      <c r="CO38" s="10"/>
      <c r="CP38" s="10"/>
      <c r="CQ38" s="10"/>
      <c r="CR38" s="10"/>
      <c r="CS38" s="10"/>
      <c r="CT38" s="10"/>
      <c r="CU38" s="10"/>
    </row>
    <row r="39" spans="1:99" x14ac:dyDescent="0.2">
      <c r="A39" s="11"/>
      <c r="B39" s="522">
        <f t="shared" si="41"/>
        <v>10</v>
      </c>
      <c r="C39" s="566">
        <v>7</v>
      </c>
      <c r="D39" s="616"/>
      <c r="E39" s="620"/>
      <c r="F39" s="564"/>
      <c r="G39" s="565"/>
      <c r="H39" s="581"/>
      <c r="I39" s="581"/>
      <c r="J39" s="569"/>
      <c r="K39" s="586"/>
      <c r="L39" s="587"/>
      <c r="M39" s="588"/>
      <c r="N39" s="589"/>
      <c r="O39" s="452" t="str">
        <f t="shared" si="42"/>
        <v/>
      </c>
      <c r="P39" s="453" t="str">
        <f t="shared" si="7"/>
        <v/>
      </c>
      <c r="Q39" s="499">
        <f t="shared" si="43"/>
        <v>0</v>
      </c>
      <c r="R39" s="500">
        <f t="shared" si="44"/>
        <v>0</v>
      </c>
      <c r="S39" s="454">
        <f t="shared" si="45"/>
        <v>0</v>
      </c>
      <c r="T39" s="524" t="str">
        <f t="shared" si="8"/>
        <v/>
      </c>
      <c r="U39" s="11"/>
      <c r="V39" s="12"/>
      <c r="W39" s="10"/>
      <c r="X39" s="10"/>
      <c r="Y39" s="10">
        <v>7</v>
      </c>
      <c r="Z39" s="71">
        <f t="shared" si="9"/>
        <v>10</v>
      </c>
      <c r="AA39" s="71">
        <f t="shared" si="46"/>
        <v>0</v>
      </c>
      <c r="AB39" s="10"/>
      <c r="AC39" s="134">
        <f t="shared" si="47"/>
        <v>0</v>
      </c>
      <c r="AD39" s="135">
        <f>IF(SUM(AC39:AC$112)=0,0,COUNTA(F39:G39)&gt;0)</f>
        <v>0</v>
      </c>
      <c r="AE39" s="134">
        <f t="shared" si="48"/>
        <v>0</v>
      </c>
      <c r="AF39" s="475">
        <f>IF(SUM(AC39:AC$112)=0,0,AND(AD39=FALSE,AE39=0,SUM(AE40:AE$112)&gt;0))</f>
        <v>0</v>
      </c>
      <c r="AG39" s="152">
        <f t="shared" si="10"/>
        <v>0</v>
      </c>
      <c r="AH39" s="135">
        <f t="shared" si="11"/>
        <v>0</v>
      </c>
      <c r="AI39" s="135">
        <f t="shared" si="12"/>
        <v>0</v>
      </c>
      <c r="AJ39" s="135">
        <f t="shared" si="13"/>
        <v>0</v>
      </c>
      <c r="AK39" s="183">
        <f t="shared" si="14"/>
        <v>0</v>
      </c>
      <c r="AL39" s="135">
        <f t="shared" si="15"/>
        <v>0</v>
      </c>
      <c r="AM39" s="151">
        <f t="shared" si="16"/>
        <v>0</v>
      </c>
      <c r="AN39" s="152">
        <f t="shared" si="17"/>
        <v>0</v>
      </c>
      <c r="AO39" s="135">
        <f t="shared" si="18"/>
        <v>0</v>
      </c>
      <c r="AP39" s="146">
        <f t="shared" si="49"/>
        <v>0</v>
      </c>
      <c r="AQ39" s="152">
        <f t="shared" si="50"/>
        <v>0</v>
      </c>
      <c r="AR39" s="151">
        <f t="shared" si="51"/>
        <v>0</v>
      </c>
      <c r="AS39" s="152">
        <f t="shared" si="19"/>
        <v>0</v>
      </c>
      <c r="AT39" s="135">
        <f t="shared" si="20"/>
        <v>0</v>
      </c>
      <c r="AU39" s="151">
        <f t="shared" si="21"/>
        <v>0</v>
      </c>
      <c r="AV39" s="152">
        <f t="shared" si="22"/>
        <v>0</v>
      </c>
      <c r="AW39" s="135">
        <f t="shared" si="52"/>
        <v>0</v>
      </c>
      <c r="AX39" s="134">
        <f t="shared" si="53"/>
        <v>0</v>
      </c>
      <c r="AY39" s="498" t="str">
        <f t="shared" si="54"/>
        <v/>
      </c>
      <c r="AZ39" s="152">
        <f t="shared" si="23"/>
        <v>0</v>
      </c>
      <c r="BA39" s="135">
        <f t="shared" si="24"/>
        <v>0</v>
      </c>
      <c r="BB39" s="151">
        <f t="shared" si="55"/>
        <v>0</v>
      </c>
      <c r="BC39" s="301" t="b">
        <f t="shared" si="25"/>
        <v>0</v>
      </c>
      <c r="BD39" s="109"/>
      <c r="BE39" s="313">
        <f t="shared" si="56"/>
        <v>0</v>
      </c>
      <c r="BF39" s="314">
        <f t="shared" si="26"/>
        <v>0</v>
      </c>
      <c r="BG39" s="314">
        <f t="shared" si="57"/>
        <v>0</v>
      </c>
      <c r="BH39" s="315">
        <f t="shared" si="27"/>
        <v>0</v>
      </c>
      <c r="BI39" s="308">
        <f t="shared" si="28"/>
        <v>0</v>
      </c>
      <c r="BJ39" s="308">
        <f t="shared" si="58"/>
        <v>0</v>
      </c>
      <c r="BK39" s="170">
        <f t="shared" si="29"/>
        <v>0</v>
      </c>
      <c r="BL39" s="324">
        <f t="shared" si="30"/>
        <v>0</v>
      </c>
      <c r="BM39" s="324">
        <f t="shared" si="31"/>
        <v>0</v>
      </c>
      <c r="BN39" s="324">
        <f t="shared" si="59"/>
        <v>0</v>
      </c>
      <c r="BO39" s="325">
        <f t="shared" si="60"/>
        <v>0</v>
      </c>
      <c r="BP39" s="326">
        <f t="shared" si="32"/>
        <v>0</v>
      </c>
      <c r="BQ39" s="324">
        <f t="shared" si="33"/>
        <v>0</v>
      </c>
      <c r="BR39" s="324">
        <f t="shared" si="61"/>
        <v>0</v>
      </c>
      <c r="BS39" s="325">
        <f t="shared" si="62"/>
        <v>0</v>
      </c>
      <c r="BT39" s="10"/>
      <c r="BU39" s="288">
        <f t="shared" si="34"/>
        <v>0</v>
      </c>
      <c r="BV39" s="289">
        <f t="shared" si="63"/>
        <v>0</v>
      </c>
      <c r="BW39" s="134">
        <f t="shared" si="35"/>
        <v>0</v>
      </c>
      <c r="BX39" s="294">
        <f t="shared" si="36"/>
        <v>0</v>
      </c>
      <c r="BY39" s="295">
        <f t="shared" si="37"/>
        <v>0</v>
      </c>
      <c r="BZ39" s="10"/>
      <c r="CA39" s="190">
        <f t="shared" si="38"/>
        <v>0</v>
      </c>
      <c r="CB39" s="191">
        <f t="shared" si="39"/>
        <v>0</v>
      </c>
      <c r="CC39" s="99">
        <f t="shared" si="64"/>
        <v>0</v>
      </c>
      <c r="CD39" s="299" t="str">
        <f t="shared" si="40"/>
        <v/>
      </c>
      <c r="CE39" s="305"/>
      <c r="CF39" s="10"/>
      <c r="CG39" s="10"/>
      <c r="CH39" s="10"/>
      <c r="CI39" s="10"/>
      <c r="CJ39" s="10"/>
      <c r="CK39" s="10"/>
      <c r="CL39" s="10"/>
      <c r="CM39" s="10"/>
      <c r="CN39" s="10"/>
      <c r="CO39" s="10"/>
      <c r="CP39" s="10"/>
      <c r="CQ39" s="10"/>
      <c r="CR39" s="10"/>
      <c r="CS39" s="10"/>
      <c r="CT39" s="10"/>
      <c r="CU39" s="10"/>
    </row>
    <row r="40" spans="1:99" x14ac:dyDescent="0.2">
      <c r="A40" s="11"/>
      <c r="B40" s="522">
        <f t="shared" si="41"/>
        <v>10</v>
      </c>
      <c r="C40" s="566">
        <v>8</v>
      </c>
      <c r="D40" s="616"/>
      <c r="E40" s="620"/>
      <c r="F40" s="564"/>
      <c r="G40" s="565"/>
      <c r="H40" s="581"/>
      <c r="I40" s="581"/>
      <c r="J40" s="569"/>
      <c r="K40" s="586"/>
      <c r="L40" s="587"/>
      <c r="M40" s="588"/>
      <c r="N40" s="589"/>
      <c r="O40" s="452" t="str">
        <f t="shared" si="42"/>
        <v/>
      </c>
      <c r="P40" s="453" t="str">
        <f t="shared" si="7"/>
        <v/>
      </c>
      <c r="Q40" s="499">
        <f t="shared" si="43"/>
        <v>0</v>
      </c>
      <c r="R40" s="500">
        <f t="shared" si="44"/>
        <v>0</v>
      </c>
      <c r="S40" s="454">
        <f t="shared" si="45"/>
        <v>0</v>
      </c>
      <c r="T40" s="524" t="str">
        <f t="shared" si="8"/>
        <v/>
      </c>
      <c r="U40" s="11"/>
      <c r="V40" s="12"/>
      <c r="W40" s="10"/>
      <c r="X40" s="10"/>
      <c r="Y40" s="10">
        <v>8</v>
      </c>
      <c r="Z40" s="71">
        <f t="shared" si="9"/>
        <v>10</v>
      </c>
      <c r="AA40" s="71">
        <f t="shared" si="46"/>
        <v>0</v>
      </c>
      <c r="AB40" s="10"/>
      <c r="AC40" s="134">
        <f t="shared" si="47"/>
        <v>0</v>
      </c>
      <c r="AD40" s="135">
        <f>IF(SUM(AC40:AC$112)=0,0,COUNTA(F40:G40)&gt;0)</f>
        <v>0</v>
      </c>
      <c r="AE40" s="134">
        <f t="shared" si="48"/>
        <v>0</v>
      </c>
      <c r="AF40" s="475">
        <f>IF(SUM(AC40:AC$112)=0,0,AND(AD40=FALSE,AE40=0,SUM(AE41:AE$112)&gt;0))</f>
        <v>0</v>
      </c>
      <c r="AG40" s="152">
        <f t="shared" si="10"/>
        <v>0</v>
      </c>
      <c r="AH40" s="135">
        <f t="shared" si="11"/>
        <v>0</v>
      </c>
      <c r="AI40" s="135">
        <f t="shared" si="12"/>
        <v>0</v>
      </c>
      <c r="AJ40" s="135">
        <f t="shared" si="13"/>
        <v>0</v>
      </c>
      <c r="AK40" s="183">
        <f t="shared" si="14"/>
        <v>0</v>
      </c>
      <c r="AL40" s="135">
        <f t="shared" si="15"/>
        <v>0</v>
      </c>
      <c r="AM40" s="151">
        <f t="shared" si="16"/>
        <v>0</v>
      </c>
      <c r="AN40" s="152">
        <f t="shared" si="17"/>
        <v>0</v>
      </c>
      <c r="AO40" s="135">
        <f t="shared" si="18"/>
        <v>0</v>
      </c>
      <c r="AP40" s="146">
        <f t="shared" si="49"/>
        <v>0</v>
      </c>
      <c r="AQ40" s="152">
        <f t="shared" si="50"/>
        <v>0</v>
      </c>
      <c r="AR40" s="151">
        <f t="shared" si="51"/>
        <v>0</v>
      </c>
      <c r="AS40" s="152">
        <f t="shared" si="19"/>
        <v>0</v>
      </c>
      <c r="AT40" s="135">
        <f t="shared" si="20"/>
        <v>0</v>
      </c>
      <c r="AU40" s="151">
        <f t="shared" si="21"/>
        <v>0</v>
      </c>
      <c r="AV40" s="152">
        <f t="shared" si="22"/>
        <v>0</v>
      </c>
      <c r="AW40" s="135">
        <f t="shared" si="52"/>
        <v>0</v>
      </c>
      <c r="AX40" s="134">
        <f t="shared" si="53"/>
        <v>0</v>
      </c>
      <c r="AY40" s="498" t="str">
        <f t="shared" si="54"/>
        <v/>
      </c>
      <c r="AZ40" s="152">
        <f t="shared" si="23"/>
        <v>0</v>
      </c>
      <c r="BA40" s="135">
        <f t="shared" si="24"/>
        <v>0</v>
      </c>
      <c r="BB40" s="151">
        <f t="shared" si="55"/>
        <v>0</v>
      </c>
      <c r="BC40" s="301" t="b">
        <f t="shared" si="25"/>
        <v>0</v>
      </c>
      <c r="BD40" s="109"/>
      <c r="BE40" s="313">
        <f t="shared" si="56"/>
        <v>0</v>
      </c>
      <c r="BF40" s="314">
        <f t="shared" si="26"/>
        <v>0</v>
      </c>
      <c r="BG40" s="314">
        <f t="shared" si="57"/>
        <v>0</v>
      </c>
      <c r="BH40" s="315">
        <f t="shared" si="27"/>
        <v>0</v>
      </c>
      <c r="BI40" s="309">
        <f t="shared" si="28"/>
        <v>0</v>
      </c>
      <c r="BJ40" s="309">
        <f t="shared" si="58"/>
        <v>0</v>
      </c>
      <c r="BK40" s="170">
        <f t="shared" si="29"/>
        <v>0</v>
      </c>
      <c r="BL40" s="324">
        <f t="shared" si="30"/>
        <v>0</v>
      </c>
      <c r="BM40" s="324">
        <f t="shared" si="31"/>
        <v>0</v>
      </c>
      <c r="BN40" s="324">
        <f t="shared" si="59"/>
        <v>0</v>
      </c>
      <c r="BO40" s="325">
        <f t="shared" si="60"/>
        <v>0</v>
      </c>
      <c r="BP40" s="326">
        <f t="shared" si="32"/>
        <v>0</v>
      </c>
      <c r="BQ40" s="324">
        <f t="shared" si="33"/>
        <v>0</v>
      </c>
      <c r="BR40" s="324">
        <f t="shared" si="61"/>
        <v>0</v>
      </c>
      <c r="BS40" s="325">
        <f t="shared" si="62"/>
        <v>0</v>
      </c>
      <c r="BT40" s="10"/>
      <c r="BU40" s="288">
        <f t="shared" si="34"/>
        <v>0</v>
      </c>
      <c r="BV40" s="289">
        <f t="shared" si="63"/>
        <v>0</v>
      </c>
      <c r="BW40" s="134">
        <f t="shared" si="35"/>
        <v>0</v>
      </c>
      <c r="BX40" s="294">
        <f t="shared" si="36"/>
        <v>0</v>
      </c>
      <c r="BY40" s="295">
        <f t="shared" si="37"/>
        <v>0</v>
      </c>
      <c r="BZ40" s="10"/>
      <c r="CA40" s="190">
        <f t="shared" si="38"/>
        <v>0</v>
      </c>
      <c r="CB40" s="191">
        <f t="shared" si="39"/>
        <v>0</v>
      </c>
      <c r="CC40" s="99">
        <f t="shared" si="64"/>
        <v>0</v>
      </c>
      <c r="CD40" s="299" t="str">
        <f t="shared" si="40"/>
        <v/>
      </c>
      <c r="CE40" s="305"/>
      <c r="CF40" s="10"/>
      <c r="CG40" s="10"/>
      <c r="CH40" s="10"/>
      <c r="CI40" s="10"/>
      <c r="CJ40" s="10"/>
      <c r="CK40" s="10"/>
      <c r="CL40" s="10"/>
      <c r="CM40" s="10"/>
      <c r="CN40" s="10"/>
      <c r="CO40" s="10"/>
      <c r="CP40" s="10"/>
      <c r="CQ40" s="10"/>
      <c r="CR40" s="10"/>
      <c r="CS40" s="10"/>
      <c r="CT40" s="10"/>
      <c r="CU40" s="10"/>
    </row>
    <row r="41" spans="1:99" x14ac:dyDescent="0.2">
      <c r="A41" s="11"/>
      <c r="B41" s="522">
        <f t="shared" si="41"/>
        <v>10</v>
      </c>
      <c r="C41" s="566">
        <v>9</v>
      </c>
      <c r="D41" s="616"/>
      <c r="E41" s="620"/>
      <c r="F41" s="564"/>
      <c r="G41" s="565"/>
      <c r="H41" s="581"/>
      <c r="I41" s="581"/>
      <c r="J41" s="569"/>
      <c r="K41" s="586"/>
      <c r="L41" s="587"/>
      <c r="M41" s="588"/>
      <c r="N41" s="589"/>
      <c r="O41" s="452" t="str">
        <f t="shared" si="42"/>
        <v/>
      </c>
      <c r="P41" s="453" t="str">
        <f t="shared" si="7"/>
        <v/>
      </c>
      <c r="Q41" s="499">
        <f t="shared" si="43"/>
        <v>0</v>
      </c>
      <c r="R41" s="500">
        <f t="shared" si="44"/>
        <v>0</v>
      </c>
      <c r="S41" s="454">
        <f t="shared" si="45"/>
        <v>0</v>
      </c>
      <c r="T41" s="524" t="str">
        <f t="shared" si="8"/>
        <v/>
      </c>
      <c r="U41" s="11"/>
      <c r="V41" s="12"/>
      <c r="W41" s="10"/>
      <c r="X41" s="10"/>
      <c r="Y41" s="10">
        <v>9</v>
      </c>
      <c r="Z41" s="71">
        <f t="shared" si="9"/>
        <v>10</v>
      </c>
      <c r="AA41" s="71">
        <f t="shared" si="46"/>
        <v>0</v>
      </c>
      <c r="AB41" s="10"/>
      <c r="AC41" s="134">
        <f t="shared" si="47"/>
        <v>0</v>
      </c>
      <c r="AD41" s="135">
        <f>IF(SUM(AC41:AC$112)=0,0,COUNTA(F41:G41)&gt;0)</f>
        <v>0</v>
      </c>
      <c r="AE41" s="134">
        <f t="shared" si="48"/>
        <v>0</v>
      </c>
      <c r="AF41" s="475">
        <f>IF(SUM(AC41:AC$112)=0,0,AND(AD41=FALSE,AE41=0,SUM(AE42:AE$112)&gt;0))</f>
        <v>0</v>
      </c>
      <c r="AG41" s="152">
        <f t="shared" si="10"/>
        <v>0</v>
      </c>
      <c r="AH41" s="135">
        <f t="shared" si="11"/>
        <v>0</v>
      </c>
      <c r="AI41" s="135">
        <f t="shared" si="12"/>
        <v>0</v>
      </c>
      <c r="AJ41" s="135">
        <f t="shared" si="13"/>
        <v>0</v>
      </c>
      <c r="AK41" s="183">
        <f t="shared" si="14"/>
        <v>0</v>
      </c>
      <c r="AL41" s="135">
        <f t="shared" si="15"/>
        <v>0</v>
      </c>
      <c r="AM41" s="151">
        <f t="shared" si="16"/>
        <v>0</v>
      </c>
      <c r="AN41" s="152">
        <f t="shared" si="17"/>
        <v>0</v>
      </c>
      <c r="AO41" s="135">
        <f t="shared" si="18"/>
        <v>0</v>
      </c>
      <c r="AP41" s="146">
        <f t="shared" si="49"/>
        <v>0</v>
      </c>
      <c r="AQ41" s="152">
        <f t="shared" si="50"/>
        <v>0</v>
      </c>
      <c r="AR41" s="151">
        <f t="shared" si="51"/>
        <v>0</v>
      </c>
      <c r="AS41" s="152">
        <f t="shared" si="19"/>
        <v>0</v>
      </c>
      <c r="AT41" s="135">
        <f t="shared" si="20"/>
        <v>0</v>
      </c>
      <c r="AU41" s="151">
        <f t="shared" si="21"/>
        <v>0</v>
      </c>
      <c r="AV41" s="152">
        <f t="shared" si="22"/>
        <v>0</v>
      </c>
      <c r="AW41" s="135">
        <f t="shared" si="52"/>
        <v>0</v>
      </c>
      <c r="AX41" s="134">
        <f t="shared" si="53"/>
        <v>0</v>
      </c>
      <c r="AY41" s="498" t="str">
        <f t="shared" si="54"/>
        <v/>
      </c>
      <c r="AZ41" s="152">
        <f t="shared" si="23"/>
        <v>0</v>
      </c>
      <c r="BA41" s="135">
        <f t="shared" si="24"/>
        <v>0</v>
      </c>
      <c r="BB41" s="151">
        <f t="shared" si="55"/>
        <v>0</v>
      </c>
      <c r="BC41" s="301" t="b">
        <f t="shared" si="25"/>
        <v>0</v>
      </c>
      <c r="BD41" s="109"/>
      <c r="BE41" s="313">
        <f t="shared" si="56"/>
        <v>0</v>
      </c>
      <c r="BF41" s="314">
        <f t="shared" si="26"/>
        <v>0</v>
      </c>
      <c r="BG41" s="314">
        <f t="shared" si="57"/>
        <v>0</v>
      </c>
      <c r="BH41" s="315">
        <f t="shared" si="27"/>
        <v>0</v>
      </c>
      <c r="BI41" s="308">
        <f t="shared" si="28"/>
        <v>0</v>
      </c>
      <c r="BJ41" s="308">
        <f t="shared" si="58"/>
        <v>0</v>
      </c>
      <c r="BK41" s="170">
        <f t="shared" si="29"/>
        <v>0</v>
      </c>
      <c r="BL41" s="324">
        <f t="shared" si="30"/>
        <v>0</v>
      </c>
      <c r="BM41" s="324">
        <f t="shared" si="31"/>
        <v>0</v>
      </c>
      <c r="BN41" s="324">
        <f t="shared" si="59"/>
        <v>0</v>
      </c>
      <c r="BO41" s="325">
        <f t="shared" si="60"/>
        <v>0</v>
      </c>
      <c r="BP41" s="326">
        <f t="shared" si="32"/>
        <v>0</v>
      </c>
      <c r="BQ41" s="324">
        <f t="shared" si="33"/>
        <v>0</v>
      </c>
      <c r="BR41" s="324">
        <f t="shared" si="61"/>
        <v>0</v>
      </c>
      <c r="BS41" s="325">
        <f t="shared" si="62"/>
        <v>0</v>
      </c>
      <c r="BT41" s="10"/>
      <c r="BU41" s="288">
        <f t="shared" si="34"/>
        <v>0</v>
      </c>
      <c r="BV41" s="289">
        <f t="shared" si="63"/>
        <v>0</v>
      </c>
      <c r="BW41" s="134">
        <f t="shared" si="35"/>
        <v>0</v>
      </c>
      <c r="BX41" s="294">
        <f t="shared" si="36"/>
        <v>0</v>
      </c>
      <c r="BY41" s="295">
        <f t="shared" si="37"/>
        <v>0</v>
      </c>
      <c r="BZ41" s="10"/>
      <c r="CA41" s="190">
        <f t="shared" si="38"/>
        <v>0</v>
      </c>
      <c r="CB41" s="191">
        <f t="shared" si="39"/>
        <v>0</v>
      </c>
      <c r="CC41" s="99">
        <f t="shared" si="64"/>
        <v>0</v>
      </c>
      <c r="CD41" s="299" t="str">
        <f t="shared" si="40"/>
        <v/>
      </c>
      <c r="CE41" s="305"/>
      <c r="CF41" s="10"/>
      <c r="CG41" s="10"/>
      <c r="CH41" s="10"/>
      <c r="CI41" s="10"/>
      <c r="CJ41" s="10"/>
      <c r="CK41" s="10"/>
      <c r="CL41" s="10"/>
      <c r="CM41" s="10"/>
      <c r="CN41" s="10"/>
      <c r="CO41" s="10"/>
      <c r="CP41" s="10"/>
      <c r="CQ41" s="10"/>
      <c r="CR41" s="10"/>
      <c r="CS41" s="10"/>
      <c r="CT41" s="10"/>
      <c r="CU41" s="10"/>
    </row>
    <row r="42" spans="1:99" ht="13.5" thickBot="1" x14ac:dyDescent="0.25">
      <c r="A42" s="11"/>
      <c r="B42" s="522">
        <f t="shared" si="41"/>
        <v>10</v>
      </c>
      <c r="C42" s="566">
        <v>10</v>
      </c>
      <c r="D42" s="616"/>
      <c r="E42" s="620"/>
      <c r="F42" s="564"/>
      <c r="G42" s="565"/>
      <c r="H42" s="581"/>
      <c r="I42" s="581"/>
      <c r="J42" s="569"/>
      <c r="K42" s="586"/>
      <c r="L42" s="587"/>
      <c r="M42" s="588"/>
      <c r="N42" s="589"/>
      <c r="O42" s="452" t="str">
        <f t="shared" si="42"/>
        <v/>
      </c>
      <c r="P42" s="453" t="str">
        <f t="shared" si="7"/>
        <v/>
      </c>
      <c r="Q42" s="499">
        <f t="shared" si="43"/>
        <v>0</v>
      </c>
      <c r="R42" s="500">
        <f t="shared" si="44"/>
        <v>0</v>
      </c>
      <c r="S42" s="454">
        <f t="shared" si="45"/>
        <v>0</v>
      </c>
      <c r="T42" s="524" t="str">
        <f t="shared" si="8"/>
        <v/>
      </c>
      <c r="U42" s="11"/>
      <c r="V42" s="12"/>
      <c r="W42" s="10"/>
      <c r="X42" s="10"/>
      <c r="Y42" s="10">
        <v>10</v>
      </c>
      <c r="Z42" s="71">
        <f t="shared" si="9"/>
        <v>10</v>
      </c>
      <c r="AA42" s="71">
        <f t="shared" si="46"/>
        <v>0</v>
      </c>
      <c r="AB42" s="10"/>
      <c r="AC42" s="134">
        <f t="shared" si="47"/>
        <v>0</v>
      </c>
      <c r="AD42" s="135">
        <f>IF(SUM(AC42:AC$112)=0,0,COUNTA(F42:G42)&gt;0)</f>
        <v>0</v>
      </c>
      <c r="AE42" s="134">
        <f t="shared" si="48"/>
        <v>0</v>
      </c>
      <c r="AF42" s="475">
        <f>IF(SUM(AC42:AC$112)=0,0,AND(AD42=FALSE,AE42=0,SUM(AE43:AE$112)&gt;0))</f>
        <v>0</v>
      </c>
      <c r="AG42" s="152">
        <f t="shared" si="10"/>
        <v>0</v>
      </c>
      <c r="AH42" s="135">
        <f t="shared" si="11"/>
        <v>0</v>
      </c>
      <c r="AI42" s="135">
        <f t="shared" si="12"/>
        <v>0</v>
      </c>
      <c r="AJ42" s="135">
        <f t="shared" si="13"/>
        <v>0</v>
      </c>
      <c r="AK42" s="183">
        <f t="shared" si="14"/>
        <v>0</v>
      </c>
      <c r="AL42" s="135">
        <f t="shared" si="15"/>
        <v>0</v>
      </c>
      <c r="AM42" s="151">
        <f t="shared" si="16"/>
        <v>0</v>
      </c>
      <c r="AN42" s="152">
        <f t="shared" si="17"/>
        <v>0</v>
      </c>
      <c r="AO42" s="135">
        <f t="shared" si="18"/>
        <v>0</v>
      </c>
      <c r="AP42" s="146">
        <f t="shared" si="49"/>
        <v>0</v>
      </c>
      <c r="AQ42" s="152">
        <f t="shared" si="50"/>
        <v>0</v>
      </c>
      <c r="AR42" s="151">
        <f t="shared" si="51"/>
        <v>0</v>
      </c>
      <c r="AS42" s="152">
        <f t="shared" si="19"/>
        <v>0</v>
      </c>
      <c r="AT42" s="135">
        <f t="shared" si="20"/>
        <v>0</v>
      </c>
      <c r="AU42" s="151">
        <f t="shared" si="21"/>
        <v>0</v>
      </c>
      <c r="AV42" s="152">
        <f t="shared" si="22"/>
        <v>0</v>
      </c>
      <c r="AW42" s="135">
        <f t="shared" si="52"/>
        <v>0</v>
      </c>
      <c r="AX42" s="134">
        <f t="shared" si="53"/>
        <v>0</v>
      </c>
      <c r="AY42" s="498" t="str">
        <f t="shared" si="54"/>
        <v/>
      </c>
      <c r="AZ42" s="152">
        <f t="shared" si="23"/>
        <v>0</v>
      </c>
      <c r="BA42" s="135">
        <f t="shared" si="24"/>
        <v>0</v>
      </c>
      <c r="BB42" s="151">
        <f t="shared" si="55"/>
        <v>0</v>
      </c>
      <c r="BC42" s="301" t="b">
        <f t="shared" si="25"/>
        <v>0</v>
      </c>
      <c r="BD42" s="109"/>
      <c r="BE42" s="313">
        <f t="shared" si="56"/>
        <v>0</v>
      </c>
      <c r="BF42" s="314">
        <f t="shared" si="26"/>
        <v>0</v>
      </c>
      <c r="BG42" s="314">
        <f t="shared" si="57"/>
        <v>0</v>
      </c>
      <c r="BH42" s="315">
        <f t="shared" si="27"/>
        <v>0</v>
      </c>
      <c r="BI42" s="308">
        <f t="shared" si="28"/>
        <v>0</v>
      </c>
      <c r="BJ42" s="308">
        <f t="shared" si="58"/>
        <v>0</v>
      </c>
      <c r="BK42" s="170">
        <f t="shared" si="29"/>
        <v>0</v>
      </c>
      <c r="BL42" s="324">
        <f t="shared" si="30"/>
        <v>0</v>
      </c>
      <c r="BM42" s="324">
        <f t="shared" si="31"/>
        <v>0</v>
      </c>
      <c r="BN42" s="324">
        <f t="shared" si="59"/>
        <v>0</v>
      </c>
      <c r="BO42" s="325">
        <f t="shared" si="60"/>
        <v>0</v>
      </c>
      <c r="BP42" s="326">
        <f t="shared" si="32"/>
        <v>0</v>
      </c>
      <c r="BQ42" s="324">
        <f t="shared" si="33"/>
        <v>0</v>
      </c>
      <c r="BR42" s="324">
        <f t="shared" si="61"/>
        <v>0</v>
      </c>
      <c r="BS42" s="325">
        <f t="shared" si="62"/>
        <v>0</v>
      </c>
      <c r="BT42" s="10"/>
      <c r="BU42" s="288">
        <f t="shared" si="34"/>
        <v>0</v>
      </c>
      <c r="BV42" s="289">
        <f t="shared" si="63"/>
        <v>0</v>
      </c>
      <c r="BW42" s="134">
        <f t="shared" si="35"/>
        <v>0</v>
      </c>
      <c r="BX42" s="294">
        <f t="shared" si="36"/>
        <v>0</v>
      </c>
      <c r="BY42" s="295">
        <f t="shared" si="37"/>
        <v>0</v>
      </c>
      <c r="BZ42" s="10"/>
      <c r="CA42" s="190">
        <f t="shared" si="38"/>
        <v>0</v>
      </c>
      <c r="CB42" s="191">
        <f t="shared" si="39"/>
        <v>0</v>
      </c>
      <c r="CC42" s="99">
        <f t="shared" si="64"/>
        <v>0</v>
      </c>
      <c r="CD42" s="299" t="str">
        <f t="shared" si="40"/>
        <v/>
      </c>
      <c r="CE42" s="305"/>
      <c r="CF42" s="10"/>
      <c r="CG42" s="10"/>
      <c r="CH42" s="10"/>
      <c r="CI42" s="10"/>
      <c r="CJ42" s="10"/>
      <c r="CK42" s="10"/>
      <c r="CL42" s="10"/>
      <c r="CM42" s="10"/>
      <c r="CN42" s="10"/>
      <c r="CO42" s="10"/>
      <c r="CP42" s="10"/>
      <c r="CQ42" s="10"/>
      <c r="CR42" s="10"/>
      <c r="CS42" s="10"/>
      <c r="CT42" s="10"/>
      <c r="CU42" s="10"/>
    </row>
    <row r="43" spans="1:99" ht="13.5" hidden="1" thickBot="1" x14ac:dyDescent="0.25">
      <c r="A43" s="11"/>
      <c r="B43" s="522" t="str">
        <f t="shared" si="41"/>
        <v>-</v>
      </c>
      <c r="C43" s="566">
        <v>11</v>
      </c>
      <c r="D43" s="621"/>
      <c r="E43" s="622"/>
      <c r="F43" s="564"/>
      <c r="G43" s="565"/>
      <c r="H43" s="581"/>
      <c r="I43" s="581"/>
      <c r="J43" s="569"/>
      <c r="K43" s="586"/>
      <c r="L43" s="587"/>
      <c r="M43" s="588"/>
      <c r="N43" s="589"/>
      <c r="O43" s="452" t="str">
        <f t="shared" si="42"/>
        <v/>
      </c>
      <c r="P43" s="453" t="str">
        <f t="shared" si="7"/>
        <v/>
      </c>
      <c r="Q43" s="499">
        <f t="shared" si="43"/>
        <v>0</v>
      </c>
      <c r="R43" s="500">
        <f t="shared" si="44"/>
        <v>0</v>
      </c>
      <c r="S43" s="454">
        <f t="shared" si="45"/>
        <v>0</v>
      </c>
      <c r="T43" s="524" t="str">
        <f t="shared" si="8"/>
        <v/>
      </c>
      <c r="U43" s="11"/>
      <c r="V43" s="12"/>
      <c r="W43" s="10"/>
      <c r="X43" s="10"/>
      <c r="Y43" s="10">
        <v>11</v>
      </c>
      <c r="Z43" s="71" t="str">
        <f t="shared" si="9"/>
        <v>-</v>
      </c>
      <c r="AA43" s="71">
        <f t="shared" si="46"/>
        <v>0</v>
      </c>
      <c r="AB43" s="10"/>
      <c r="AC43" s="134">
        <f t="shared" si="47"/>
        <v>0</v>
      </c>
      <c r="AD43" s="135">
        <f>IF(SUM(AC43:AC$112)=0,0,COUNTA(F43:G43)&gt;0)</f>
        <v>0</v>
      </c>
      <c r="AE43" s="134">
        <f t="shared" si="48"/>
        <v>0</v>
      </c>
      <c r="AF43" s="475">
        <f>IF(SUM(AC43:AC$112)=0,0,AND(AD43=FALSE,AE43=0,SUM(AE44:AE$112)&gt;0))</f>
        <v>0</v>
      </c>
      <c r="AG43" s="152">
        <f t="shared" si="10"/>
        <v>0</v>
      </c>
      <c r="AH43" s="135">
        <f t="shared" si="11"/>
        <v>0</v>
      </c>
      <c r="AI43" s="135">
        <f t="shared" si="12"/>
        <v>0</v>
      </c>
      <c r="AJ43" s="135">
        <f t="shared" si="13"/>
        <v>0</v>
      </c>
      <c r="AK43" s="183">
        <f t="shared" si="14"/>
        <v>0</v>
      </c>
      <c r="AL43" s="135">
        <f t="shared" si="15"/>
        <v>0</v>
      </c>
      <c r="AM43" s="151">
        <f t="shared" si="16"/>
        <v>0</v>
      </c>
      <c r="AN43" s="152">
        <f t="shared" si="17"/>
        <v>0</v>
      </c>
      <c r="AO43" s="135">
        <f t="shared" si="18"/>
        <v>0</v>
      </c>
      <c r="AP43" s="146">
        <f t="shared" si="49"/>
        <v>0</v>
      </c>
      <c r="AQ43" s="152">
        <f t="shared" si="50"/>
        <v>0</v>
      </c>
      <c r="AR43" s="151">
        <f t="shared" si="51"/>
        <v>0</v>
      </c>
      <c r="AS43" s="152">
        <f t="shared" si="19"/>
        <v>0</v>
      </c>
      <c r="AT43" s="135">
        <f t="shared" si="20"/>
        <v>0</v>
      </c>
      <c r="AU43" s="151">
        <f t="shared" si="21"/>
        <v>0</v>
      </c>
      <c r="AV43" s="152">
        <f t="shared" si="22"/>
        <v>0</v>
      </c>
      <c r="AW43" s="135">
        <f t="shared" si="52"/>
        <v>0</v>
      </c>
      <c r="AX43" s="134">
        <f t="shared" si="53"/>
        <v>0</v>
      </c>
      <c r="AY43" s="498" t="str">
        <f t="shared" si="54"/>
        <v/>
      </c>
      <c r="AZ43" s="152">
        <f t="shared" si="23"/>
        <v>0</v>
      </c>
      <c r="BA43" s="135">
        <f t="shared" si="24"/>
        <v>0</v>
      </c>
      <c r="BB43" s="151">
        <f t="shared" si="55"/>
        <v>0</v>
      </c>
      <c r="BC43" s="301" t="b">
        <f t="shared" si="25"/>
        <v>0</v>
      </c>
      <c r="BD43" s="109"/>
      <c r="BE43" s="313">
        <f t="shared" si="56"/>
        <v>0</v>
      </c>
      <c r="BF43" s="314">
        <f t="shared" si="26"/>
        <v>0</v>
      </c>
      <c r="BG43" s="314">
        <f t="shared" si="57"/>
        <v>0</v>
      </c>
      <c r="BH43" s="315">
        <f t="shared" si="27"/>
        <v>0</v>
      </c>
      <c r="BI43" s="308">
        <f t="shared" si="28"/>
        <v>0</v>
      </c>
      <c r="BJ43" s="308">
        <f t="shared" si="58"/>
        <v>0</v>
      </c>
      <c r="BK43" s="170">
        <f t="shared" si="29"/>
        <v>0</v>
      </c>
      <c r="BL43" s="324">
        <f t="shared" si="30"/>
        <v>0</v>
      </c>
      <c r="BM43" s="324">
        <f t="shared" si="31"/>
        <v>0</v>
      </c>
      <c r="BN43" s="324">
        <f t="shared" si="59"/>
        <v>0</v>
      </c>
      <c r="BO43" s="325">
        <f t="shared" si="60"/>
        <v>0</v>
      </c>
      <c r="BP43" s="326">
        <f t="shared" si="32"/>
        <v>0</v>
      </c>
      <c r="BQ43" s="324">
        <f t="shared" si="33"/>
        <v>0</v>
      </c>
      <c r="BR43" s="324">
        <f t="shared" si="61"/>
        <v>0</v>
      </c>
      <c r="BS43" s="325">
        <f t="shared" si="62"/>
        <v>0</v>
      </c>
      <c r="BT43" s="10"/>
      <c r="BU43" s="288">
        <f t="shared" si="34"/>
        <v>0</v>
      </c>
      <c r="BV43" s="289">
        <f t="shared" si="63"/>
        <v>0</v>
      </c>
      <c r="BW43" s="134">
        <f t="shared" si="35"/>
        <v>0</v>
      </c>
      <c r="BX43" s="294">
        <f t="shared" si="36"/>
        <v>0</v>
      </c>
      <c r="BY43" s="295">
        <f t="shared" si="37"/>
        <v>0</v>
      </c>
      <c r="BZ43" s="10"/>
      <c r="CA43" s="190">
        <f t="shared" si="38"/>
        <v>0</v>
      </c>
      <c r="CB43" s="191">
        <f t="shared" si="39"/>
        <v>0</v>
      </c>
      <c r="CC43" s="99">
        <f t="shared" si="64"/>
        <v>0</v>
      </c>
      <c r="CD43" s="299" t="str">
        <f t="shared" si="40"/>
        <v/>
      </c>
      <c r="CE43" s="305"/>
      <c r="CF43" s="10"/>
      <c r="CG43" s="10"/>
      <c r="CH43" s="10"/>
      <c r="CI43" s="10"/>
      <c r="CJ43" s="10"/>
      <c r="CK43" s="10"/>
      <c r="CL43" s="10"/>
      <c r="CM43" s="10"/>
      <c r="CN43" s="10"/>
      <c r="CO43" s="10"/>
      <c r="CP43" s="10"/>
      <c r="CQ43" s="10"/>
      <c r="CR43" s="10"/>
      <c r="CS43" s="10"/>
      <c r="CT43" s="10"/>
      <c r="CU43" s="10"/>
    </row>
    <row r="44" spans="1:99" ht="13.5" hidden="1" thickBot="1" x14ac:dyDescent="0.25">
      <c r="A44" s="11"/>
      <c r="B44" s="522" t="str">
        <f t="shared" si="41"/>
        <v>-</v>
      </c>
      <c r="C44" s="566">
        <v>12</v>
      </c>
      <c r="D44" s="616"/>
      <c r="E44" s="617"/>
      <c r="F44" s="515"/>
      <c r="G44" s="516"/>
      <c r="H44" s="581"/>
      <c r="I44" s="581"/>
      <c r="J44" s="569"/>
      <c r="K44" s="586"/>
      <c r="L44" s="587"/>
      <c r="M44" s="588"/>
      <c r="N44" s="589"/>
      <c r="O44" s="452" t="str">
        <f t="shared" si="42"/>
        <v/>
      </c>
      <c r="P44" s="453" t="str">
        <f t="shared" si="7"/>
        <v/>
      </c>
      <c r="Q44" s="499">
        <f t="shared" si="43"/>
        <v>0</v>
      </c>
      <c r="R44" s="500">
        <f t="shared" si="44"/>
        <v>0</v>
      </c>
      <c r="S44" s="454">
        <f t="shared" si="45"/>
        <v>0</v>
      </c>
      <c r="T44" s="524" t="str">
        <f t="shared" si="8"/>
        <v/>
      </c>
      <c r="U44" s="11"/>
      <c r="V44" s="12"/>
      <c r="W44" s="10"/>
      <c r="X44" s="10"/>
      <c r="Y44" s="10">
        <v>12</v>
      </c>
      <c r="Z44" s="71" t="str">
        <f t="shared" si="9"/>
        <v>-</v>
      </c>
      <c r="AA44" s="71">
        <f t="shared" si="46"/>
        <v>0</v>
      </c>
      <c r="AB44" s="10"/>
      <c r="AC44" s="134">
        <f t="shared" si="47"/>
        <v>0</v>
      </c>
      <c r="AD44" s="135">
        <f>IF(SUM(AC44:AC$112)=0,0,COUNTA(F44:G44)&gt;0)</f>
        <v>0</v>
      </c>
      <c r="AE44" s="134">
        <f t="shared" si="48"/>
        <v>0</v>
      </c>
      <c r="AF44" s="475">
        <f>IF(SUM(AC44:AC$112)=0,0,AND(AD44=FALSE,AE44=0,SUM(AE45:AE$112)&gt;0))</f>
        <v>0</v>
      </c>
      <c r="AG44" s="152">
        <f t="shared" si="10"/>
        <v>0</v>
      </c>
      <c r="AH44" s="135">
        <f t="shared" si="11"/>
        <v>0</v>
      </c>
      <c r="AI44" s="135">
        <f t="shared" si="12"/>
        <v>0</v>
      </c>
      <c r="AJ44" s="135">
        <f t="shared" si="13"/>
        <v>0</v>
      </c>
      <c r="AK44" s="183">
        <f t="shared" si="14"/>
        <v>0</v>
      </c>
      <c r="AL44" s="135">
        <f t="shared" si="15"/>
        <v>0</v>
      </c>
      <c r="AM44" s="151">
        <f t="shared" si="16"/>
        <v>0</v>
      </c>
      <c r="AN44" s="152">
        <f t="shared" si="17"/>
        <v>0</v>
      </c>
      <c r="AO44" s="135">
        <f t="shared" si="18"/>
        <v>0</v>
      </c>
      <c r="AP44" s="146">
        <f t="shared" si="49"/>
        <v>0</v>
      </c>
      <c r="AQ44" s="152">
        <f t="shared" si="50"/>
        <v>0</v>
      </c>
      <c r="AR44" s="151">
        <f t="shared" si="51"/>
        <v>0</v>
      </c>
      <c r="AS44" s="152">
        <f t="shared" si="19"/>
        <v>0</v>
      </c>
      <c r="AT44" s="135">
        <f t="shared" si="20"/>
        <v>0</v>
      </c>
      <c r="AU44" s="151">
        <f t="shared" si="21"/>
        <v>0</v>
      </c>
      <c r="AV44" s="152">
        <f t="shared" si="22"/>
        <v>0</v>
      </c>
      <c r="AW44" s="135">
        <f t="shared" si="52"/>
        <v>0</v>
      </c>
      <c r="AX44" s="134">
        <f t="shared" si="53"/>
        <v>0</v>
      </c>
      <c r="AY44" s="498" t="str">
        <f t="shared" si="54"/>
        <v/>
      </c>
      <c r="AZ44" s="152">
        <f t="shared" si="23"/>
        <v>0</v>
      </c>
      <c r="BA44" s="135">
        <f t="shared" si="24"/>
        <v>0</v>
      </c>
      <c r="BB44" s="151">
        <f t="shared" si="55"/>
        <v>0</v>
      </c>
      <c r="BC44" s="301" t="b">
        <f t="shared" si="25"/>
        <v>0</v>
      </c>
      <c r="BD44" s="109"/>
      <c r="BE44" s="313">
        <f t="shared" si="56"/>
        <v>0</v>
      </c>
      <c r="BF44" s="314">
        <f t="shared" si="26"/>
        <v>0</v>
      </c>
      <c r="BG44" s="314">
        <f t="shared" si="57"/>
        <v>0</v>
      </c>
      <c r="BH44" s="315">
        <f t="shared" si="27"/>
        <v>0</v>
      </c>
      <c r="BI44" s="308">
        <f t="shared" si="28"/>
        <v>0</v>
      </c>
      <c r="BJ44" s="308">
        <f t="shared" si="58"/>
        <v>0</v>
      </c>
      <c r="BK44" s="170">
        <f t="shared" si="29"/>
        <v>0</v>
      </c>
      <c r="BL44" s="324">
        <f t="shared" si="30"/>
        <v>0</v>
      </c>
      <c r="BM44" s="324">
        <f t="shared" si="31"/>
        <v>0</v>
      </c>
      <c r="BN44" s="324">
        <f t="shared" si="59"/>
        <v>0</v>
      </c>
      <c r="BO44" s="325">
        <f t="shared" si="60"/>
        <v>0</v>
      </c>
      <c r="BP44" s="326">
        <f t="shared" si="32"/>
        <v>0</v>
      </c>
      <c r="BQ44" s="324">
        <f t="shared" si="33"/>
        <v>0</v>
      </c>
      <c r="BR44" s="324">
        <f t="shared" si="61"/>
        <v>0</v>
      </c>
      <c r="BS44" s="325">
        <f t="shared" si="62"/>
        <v>0</v>
      </c>
      <c r="BT44" s="10"/>
      <c r="BU44" s="288">
        <f t="shared" si="34"/>
        <v>0</v>
      </c>
      <c r="BV44" s="289">
        <f t="shared" si="63"/>
        <v>0</v>
      </c>
      <c r="BW44" s="134">
        <f t="shared" si="35"/>
        <v>0</v>
      </c>
      <c r="BX44" s="294">
        <f t="shared" si="36"/>
        <v>0</v>
      </c>
      <c r="BY44" s="295">
        <f t="shared" si="37"/>
        <v>0</v>
      </c>
      <c r="BZ44" s="10"/>
      <c r="CA44" s="190">
        <f t="shared" si="38"/>
        <v>0</v>
      </c>
      <c r="CB44" s="191">
        <f t="shared" si="39"/>
        <v>0</v>
      </c>
      <c r="CC44" s="99">
        <f t="shared" si="64"/>
        <v>0</v>
      </c>
      <c r="CD44" s="299" t="str">
        <f t="shared" si="40"/>
        <v/>
      </c>
      <c r="CE44" s="305"/>
      <c r="CF44" s="10"/>
      <c r="CG44" s="10"/>
      <c r="CH44" s="10"/>
      <c r="CI44" s="10"/>
      <c r="CJ44" s="10"/>
      <c r="CK44" s="10"/>
      <c r="CL44" s="10"/>
      <c r="CM44" s="10"/>
      <c r="CN44" s="10"/>
      <c r="CO44" s="10"/>
      <c r="CP44" s="10"/>
      <c r="CQ44" s="10"/>
      <c r="CR44" s="10"/>
      <c r="CS44" s="10"/>
      <c r="CT44" s="10"/>
      <c r="CU44" s="10"/>
    </row>
    <row r="45" spans="1:99" ht="13.5" hidden="1" thickBot="1" x14ac:dyDescent="0.25">
      <c r="A45" s="11"/>
      <c r="B45" s="522" t="str">
        <f t="shared" si="41"/>
        <v>-</v>
      </c>
      <c r="C45" s="566">
        <v>13</v>
      </c>
      <c r="D45" s="616"/>
      <c r="E45" s="617"/>
      <c r="F45" s="515"/>
      <c r="G45" s="516"/>
      <c r="H45" s="581"/>
      <c r="I45" s="581"/>
      <c r="J45" s="569"/>
      <c r="K45" s="586"/>
      <c r="L45" s="587"/>
      <c r="M45" s="588"/>
      <c r="N45" s="589"/>
      <c r="O45" s="452" t="str">
        <f t="shared" si="42"/>
        <v/>
      </c>
      <c r="P45" s="453" t="str">
        <f t="shared" si="7"/>
        <v/>
      </c>
      <c r="Q45" s="499">
        <f t="shared" si="43"/>
        <v>0</v>
      </c>
      <c r="R45" s="500">
        <f t="shared" si="44"/>
        <v>0</v>
      </c>
      <c r="S45" s="454">
        <f t="shared" si="45"/>
        <v>0</v>
      </c>
      <c r="T45" s="524" t="str">
        <f t="shared" si="8"/>
        <v/>
      </c>
      <c r="U45" s="11"/>
      <c r="V45" s="12"/>
      <c r="W45" s="10"/>
      <c r="X45" s="10"/>
      <c r="Y45" s="10">
        <v>13</v>
      </c>
      <c r="Z45" s="71" t="str">
        <f t="shared" si="9"/>
        <v>-</v>
      </c>
      <c r="AA45" s="71">
        <f t="shared" si="46"/>
        <v>0</v>
      </c>
      <c r="AB45" s="10"/>
      <c r="AC45" s="134">
        <f t="shared" si="47"/>
        <v>0</v>
      </c>
      <c r="AD45" s="135">
        <f>IF(SUM(AC45:AC$112)=0,0,COUNTA(F45:G45)&gt;0)</f>
        <v>0</v>
      </c>
      <c r="AE45" s="134">
        <f t="shared" si="48"/>
        <v>0</v>
      </c>
      <c r="AF45" s="475">
        <f>IF(SUM(AC45:AC$112)=0,0,AND(AD45=FALSE,AE45=0,SUM(AE46:AE$112)&gt;0))</f>
        <v>0</v>
      </c>
      <c r="AG45" s="152">
        <f t="shared" si="10"/>
        <v>0</v>
      </c>
      <c r="AH45" s="135">
        <f t="shared" si="11"/>
        <v>0</v>
      </c>
      <c r="AI45" s="135">
        <f t="shared" si="12"/>
        <v>0</v>
      </c>
      <c r="AJ45" s="135">
        <f t="shared" si="13"/>
        <v>0</v>
      </c>
      <c r="AK45" s="183">
        <f t="shared" si="14"/>
        <v>0</v>
      </c>
      <c r="AL45" s="135">
        <f t="shared" si="15"/>
        <v>0</v>
      </c>
      <c r="AM45" s="151">
        <f t="shared" si="16"/>
        <v>0</v>
      </c>
      <c r="AN45" s="152">
        <f t="shared" si="17"/>
        <v>0</v>
      </c>
      <c r="AO45" s="135">
        <f t="shared" si="18"/>
        <v>0</v>
      </c>
      <c r="AP45" s="146">
        <f t="shared" si="49"/>
        <v>0</v>
      </c>
      <c r="AQ45" s="152">
        <f t="shared" si="50"/>
        <v>0</v>
      </c>
      <c r="AR45" s="151">
        <f t="shared" si="51"/>
        <v>0</v>
      </c>
      <c r="AS45" s="152">
        <f t="shared" si="19"/>
        <v>0</v>
      </c>
      <c r="AT45" s="135">
        <f t="shared" si="20"/>
        <v>0</v>
      </c>
      <c r="AU45" s="151">
        <f t="shared" si="21"/>
        <v>0</v>
      </c>
      <c r="AV45" s="152">
        <f t="shared" si="22"/>
        <v>0</v>
      </c>
      <c r="AW45" s="135">
        <f t="shared" si="52"/>
        <v>0</v>
      </c>
      <c r="AX45" s="134">
        <f t="shared" si="53"/>
        <v>0</v>
      </c>
      <c r="AY45" s="498" t="str">
        <f t="shared" si="54"/>
        <v/>
      </c>
      <c r="AZ45" s="152">
        <f t="shared" si="23"/>
        <v>0</v>
      </c>
      <c r="BA45" s="135">
        <f t="shared" si="24"/>
        <v>0</v>
      </c>
      <c r="BB45" s="151">
        <f t="shared" si="55"/>
        <v>0</v>
      </c>
      <c r="BC45" s="301" t="b">
        <f t="shared" si="25"/>
        <v>0</v>
      </c>
      <c r="BD45" s="109"/>
      <c r="BE45" s="313">
        <f t="shared" si="56"/>
        <v>0</v>
      </c>
      <c r="BF45" s="314">
        <f t="shared" si="26"/>
        <v>0</v>
      </c>
      <c r="BG45" s="314">
        <f t="shared" si="57"/>
        <v>0</v>
      </c>
      <c r="BH45" s="315">
        <f t="shared" si="27"/>
        <v>0</v>
      </c>
      <c r="BI45" s="308">
        <f t="shared" si="28"/>
        <v>0</v>
      </c>
      <c r="BJ45" s="308">
        <f t="shared" si="58"/>
        <v>0</v>
      </c>
      <c r="BK45" s="170">
        <f t="shared" si="29"/>
        <v>0</v>
      </c>
      <c r="BL45" s="324">
        <f t="shared" si="30"/>
        <v>0</v>
      </c>
      <c r="BM45" s="324">
        <f t="shared" si="31"/>
        <v>0</v>
      </c>
      <c r="BN45" s="324">
        <f t="shared" si="59"/>
        <v>0</v>
      </c>
      <c r="BO45" s="325">
        <f t="shared" si="60"/>
        <v>0</v>
      </c>
      <c r="BP45" s="326">
        <f t="shared" si="32"/>
        <v>0</v>
      </c>
      <c r="BQ45" s="324">
        <f t="shared" si="33"/>
        <v>0</v>
      </c>
      <c r="BR45" s="324">
        <f t="shared" si="61"/>
        <v>0</v>
      </c>
      <c r="BS45" s="325">
        <f t="shared" si="62"/>
        <v>0</v>
      </c>
      <c r="BT45" s="10"/>
      <c r="BU45" s="288">
        <f t="shared" si="34"/>
        <v>0</v>
      </c>
      <c r="BV45" s="289">
        <f t="shared" si="63"/>
        <v>0</v>
      </c>
      <c r="BW45" s="134">
        <f t="shared" si="35"/>
        <v>0</v>
      </c>
      <c r="BX45" s="294">
        <f t="shared" si="36"/>
        <v>0</v>
      </c>
      <c r="BY45" s="295">
        <f t="shared" si="37"/>
        <v>0</v>
      </c>
      <c r="BZ45" s="10"/>
      <c r="CA45" s="190">
        <f t="shared" si="38"/>
        <v>0</v>
      </c>
      <c r="CB45" s="191">
        <f t="shared" si="39"/>
        <v>0</v>
      </c>
      <c r="CC45" s="99">
        <f t="shared" si="64"/>
        <v>0</v>
      </c>
      <c r="CD45" s="299" t="str">
        <f t="shared" si="40"/>
        <v/>
      </c>
      <c r="CE45" s="305"/>
      <c r="CF45" s="10"/>
      <c r="CG45" s="10"/>
      <c r="CH45" s="10"/>
      <c r="CI45" s="10"/>
      <c r="CJ45" s="10"/>
      <c r="CK45" s="10"/>
      <c r="CL45" s="10"/>
      <c r="CM45" s="10"/>
      <c r="CN45" s="10"/>
      <c r="CO45" s="10"/>
      <c r="CP45" s="10"/>
      <c r="CQ45" s="10"/>
      <c r="CR45" s="10"/>
      <c r="CS45" s="10"/>
      <c r="CT45" s="10"/>
      <c r="CU45" s="10"/>
    </row>
    <row r="46" spans="1:99" ht="13.5" hidden="1" thickBot="1" x14ac:dyDescent="0.25">
      <c r="A46" s="11"/>
      <c r="B46" s="522" t="str">
        <f t="shared" si="41"/>
        <v>-</v>
      </c>
      <c r="C46" s="566">
        <v>14</v>
      </c>
      <c r="D46" s="616"/>
      <c r="E46" s="617"/>
      <c r="F46" s="515"/>
      <c r="G46" s="516"/>
      <c r="H46" s="581"/>
      <c r="I46" s="581"/>
      <c r="J46" s="569"/>
      <c r="K46" s="586"/>
      <c r="L46" s="587"/>
      <c r="M46" s="588"/>
      <c r="N46" s="589"/>
      <c r="O46" s="452" t="str">
        <f t="shared" si="42"/>
        <v/>
      </c>
      <c r="P46" s="453" t="str">
        <f t="shared" si="7"/>
        <v/>
      </c>
      <c r="Q46" s="499">
        <f t="shared" si="43"/>
        <v>0</v>
      </c>
      <c r="R46" s="500">
        <f t="shared" si="44"/>
        <v>0</v>
      </c>
      <c r="S46" s="454">
        <f t="shared" si="45"/>
        <v>0</v>
      </c>
      <c r="T46" s="524" t="str">
        <f t="shared" si="8"/>
        <v/>
      </c>
      <c r="U46" s="11"/>
      <c r="V46" s="12"/>
      <c r="W46" s="10"/>
      <c r="X46" s="10"/>
      <c r="Y46" s="10">
        <v>14</v>
      </c>
      <c r="Z46" s="71" t="str">
        <f t="shared" si="9"/>
        <v>-</v>
      </c>
      <c r="AA46" s="71">
        <f t="shared" si="46"/>
        <v>0</v>
      </c>
      <c r="AB46" s="10"/>
      <c r="AC46" s="134">
        <f t="shared" si="47"/>
        <v>0</v>
      </c>
      <c r="AD46" s="135">
        <f>IF(SUM(AC46:AC$112)=0,0,COUNTA(F46:G46)&gt;0)</f>
        <v>0</v>
      </c>
      <c r="AE46" s="134">
        <f t="shared" si="48"/>
        <v>0</v>
      </c>
      <c r="AF46" s="475">
        <f>IF(SUM(AC46:AC$112)=0,0,AND(AD46=FALSE,AE46=0,SUM(AE47:AE$112)&gt;0))</f>
        <v>0</v>
      </c>
      <c r="AG46" s="152">
        <f t="shared" si="10"/>
        <v>0</v>
      </c>
      <c r="AH46" s="135">
        <f t="shared" si="11"/>
        <v>0</v>
      </c>
      <c r="AI46" s="135">
        <f t="shared" si="12"/>
        <v>0</v>
      </c>
      <c r="AJ46" s="135">
        <f t="shared" si="13"/>
        <v>0</v>
      </c>
      <c r="AK46" s="183">
        <f t="shared" si="14"/>
        <v>0</v>
      </c>
      <c r="AL46" s="135">
        <f t="shared" si="15"/>
        <v>0</v>
      </c>
      <c r="AM46" s="151">
        <f t="shared" si="16"/>
        <v>0</v>
      </c>
      <c r="AN46" s="152">
        <f t="shared" si="17"/>
        <v>0</v>
      </c>
      <c r="AO46" s="135">
        <f t="shared" si="18"/>
        <v>0</v>
      </c>
      <c r="AP46" s="146">
        <f t="shared" si="49"/>
        <v>0</v>
      </c>
      <c r="AQ46" s="152">
        <f t="shared" si="50"/>
        <v>0</v>
      </c>
      <c r="AR46" s="151">
        <f t="shared" si="51"/>
        <v>0</v>
      </c>
      <c r="AS46" s="152">
        <f t="shared" si="19"/>
        <v>0</v>
      </c>
      <c r="AT46" s="135">
        <f t="shared" si="20"/>
        <v>0</v>
      </c>
      <c r="AU46" s="151">
        <f t="shared" si="21"/>
        <v>0</v>
      </c>
      <c r="AV46" s="152">
        <f t="shared" si="22"/>
        <v>0</v>
      </c>
      <c r="AW46" s="135">
        <f t="shared" si="52"/>
        <v>0</v>
      </c>
      <c r="AX46" s="134">
        <f t="shared" si="53"/>
        <v>0</v>
      </c>
      <c r="AY46" s="498" t="str">
        <f t="shared" si="54"/>
        <v/>
      </c>
      <c r="AZ46" s="152">
        <f t="shared" si="23"/>
        <v>0</v>
      </c>
      <c r="BA46" s="135">
        <f t="shared" si="24"/>
        <v>0</v>
      </c>
      <c r="BB46" s="151">
        <f t="shared" si="55"/>
        <v>0</v>
      </c>
      <c r="BC46" s="301" t="b">
        <f t="shared" si="25"/>
        <v>0</v>
      </c>
      <c r="BD46" s="109"/>
      <c r="BE46" s="313">
        <f t="shared" si="56"/>
        <v>0</v>
      </c>
      <c r="BF46" s="314">
        <f t="shared" si="26"/>
        <v>0</v>
      </c>
      <c r="BG46" s="314">
        <f t="shared" si="57"/>
        <v>0</v>
      </c>
      <c r="BH46" s="315">
        <f t="shared" si="27"/>
        <v>0</v>
      </c>
      <c r="BI46" s="308">
        <f t="shared" si="28"/>
        <v>0</v>
      </c>
      <c r="BJ46" s="308">
        <f t="shared" si="58"/>
        <v>0</v>
      </c>
      <c r="BK46" s="170">
        <f t="shared" si="29"/>
        <v>0</v>
      </c>
      <c r="BL46" s="324">
        <f t="shared" si="30"/>
        <v>0</v>
      </c>
      <c r="BM46" s="324">
        <f t="shared" si="31"/>
        <v>0</v>
      </c>
      <c r="BN46" s="324">
        <f t="shared" si="59"/>
        <v>0</v>
      </c>
      <c r="BO46" s="325">
        <f t="shared" si="60"/>
        <v>0</v>
      </c>
      <c r="BP46" s="326">
        <f t="shared" si="32"/>
        <v>0</v>
      </c>
      <c r="BQ46" s="324">
        <f t="shared" si="33"/>
        <v>0</v>
      </c>
      <c r="BR46" s="324">
        <f t="shared" si="61"/>
        <v>0</v>
      </c>
      <c r="BS46" s="325">
        <f t="shared" si="62"/>
        <v>0</v>
      </c>
      <c r="BT46" s="10"/>
      <c r="BU46" s="288">
        <f t="shared" si="34"/>
        <v>0</v>
      </c>
      <c r="BV46" s="289">
        <f t="shared" si="63"/>
        <v>0</v>
      </c>
      <c r="BW46" s="134">
        <f t="shared" si="35"/>
        <v>0</v>
      </c>
      <c r="BX46" s="294">
        <f t="shared" si="36"/>
        <v>0</v>
      </c>
      <c r="BY46" s="295">
        <f t="shared" si="37"/>
        <v>0</v>
      </c>
      <c r="BZ46" s="10"/>
      <c r="CA46" s="190">
        <f t="shared" si="38"/>
        <v>0</v>
      </c>
      <c r="CB46" s="191">
        <f t="shared" si="39"/>
        <v>0</v>
      </c>
      <c r="CC46" s="99">
        <f t="shared" si="64"/>
        <v>0</v>
      </c>
      <c r="CD46" s="299" t="str">
        <f t="shared" si="40"/>
        <v/>
      </c>
      <c r="CE46" s="305"/>
      <c r="CF46" s="10"/>
      <c r="CG46" s="10"/>
      <c r="CH46" s="10"/>
      <c r="CI46" s="10"/>
      <c r="CJ46" s="10"/>
      <c r="CK46" s="10"/>
      <c r="CL46" s="10"/>
      <c r="CM46" s="10"/>
      <c r="CN46" s="10"/>
      <c r="CO46" s="10"/>
      <c r="CP46" s="10"/>
      <c r="CQ46" s="10"/>
      <c r="CR46" s="10"/>
      <c r="CS46" s="10"/>
      <c r="CT46" s="10"/>
      <c r="CU46" s="10"/>
    </row>
    <row r="47" spans="1:99" ht="13.5" hidden="1" thickBot="1" x14ac:dyDescent="0.25">
      <c r="A47" s="11"/>
      <c r="B47" s="522" t="str">
        <f t="shared" si="41"/>
        <v>-</v>
      </c>
      <c r="C47" s="566">
        <v>15</v>
      </c>
      <c r="D47" s="616"/>
      <c r="E47" s="617"/>
      <c r="F47" s="515"/>
      <c r="G47" s="516"/>
      <c r="H47" s="581"/>
      <c r="I47" s="581"/>
      <c r="J47" s="569"/>
      <c r="K47" s="586"/>
      <c r="L47" s="587"/>
      <c r="M47" s="588"/>
      <c r="N47" s="589"/>
      <c r="O47" s="452" t="str">
        <f t="shared" si="42"/>
        <v/>
      </c>
      <c r="P47" s="453" t="str">
        <f t="shared" si="7"/>
        <v/>
      </c>
      <c r="Q47" s="499">
        <f t="shared" si="43"/>
        <v>0</v>
      </c>
      <c r="R47" s="500">
        <f t="shared" si="44"/>
        <v>0</v>
      </c>
      <c r="S47" s="454">
        <f t="shared" si="45"/>
        <v>0</v>
      </c>
      <c r="T47" s="524" t="str">
        <f t="shared" si="8"/>
        <v/>
      </c>
      <c r="U47" s="11"/>
      <c r="V47" s="12"/>
      <c r="W47" s="10"/>
      <c r="X47" s="10"/>
      <c r="Y47" s="10">
        <v>15</v>
      </c>
      <c r="Z47" s="71" t="str">
        <f t="shared" si="9"/>
        <v>-</v>
      </c>
      <c r="AA47" s="71">
        <f t="shared" si="46"/>
        <v>0</v>
      </c>
      <c r="AB47" s="10"/>
      <c r="AC47" s="134">
        <f t="shared" si="47"/>
        <v>0</v>
      </c>
      <c r="AD47" s="135">
        <f>IF(SUM(AC47:AC$112)=0,0,COUNTA(F47:G47)&gt;0)</f>
        <v>0</v>
      </c>
      <c r="AE47" s="134">
        <f t="shared" si="48"/>
        <v>0</v>
      </c>
      <c r="AF47" s="475">
        <f>IF(SUM(AC47:AC$112)=0,0,AND(AD47=FALSE,AE47=0,SUM(AE48:AE$112)&gt;0))</f>
        <v>0</v>
      </c>
      <c r="AG47" s="152">
        <f t="shared" si="10"/>
        <v>0</v>
      </c>
      <c r="AH47" s="135">
        <f t="shared" si="11"/>
        <v>0</v>
      </c>
      <c r="AI47" s="135">
        <f t="shared" si="12"/>
        <v>0</v>
      </c>
      <c r="AJ47" s="135">
        <f t="shared" si="13"/>
        <v>0</v>
      </c>
      <c r="AK47" s="183">
        <f t="shared" si="14"/>
        <v>0</v>
      </c>
      <c r="AL47" s="135">
        <f t="shared" si="15"/>
        <v>0</v>
      </c>
      <c r="AM47" s="151">
        <f t="shared" si="16"/>
        <v>0</v>
      </c>
      <c r="AN47" s="152">
        <f t="shared" si="17"/>
        <v>0</v>
      </c>
      <c r="AO47" s="135">
        <f t="shared" si="18"/>
        <v>0</v>
      </c>
      <c r="AP47" s="146">
        <f t="shared" si="49"/>
        <v>0</v>
      </c>
      <c r="AQ47" s="152">
        <f t="shared" si="50"/>
        <v>0</v>
      </c>
      <c r="AR47" s="151">
        <f t="shared" si="51"/>
        <v>0</v>
      </c>
      <c r="AS47" s="152">
        <f t="shared" si="19"/>
        <v>0</v>
      </c>
      <c r="AT47" s="135">
        <f t="shared" si="20"/>
        <v>0</v>
      </c>
      <c r="AU47" s="151">
        <f t="shared" si="21"/>
        <v>0</v>
      </c>
      <c r="AV47" s="152">
        <f t="shared" si="22"/>
        <v>0</v>
      </c>
      <c r="AW47" s="135">
        <f t="shared" si="52"/>
        <v>0</v>
      </c>
      <c r="AX47" s="134">
        <f t="shared" si="53"/>
        <v>0</v>
      </c>
      <c r="AY47" s="498" t="str">
        <f t="shared" si="54"/>
        <v/>
      </c>
      <c r="AZ47" s="152">
        <f t="shared" si="23"/>
        <v>0</v>
      </c>
      <c r="BA47" s="135">
        <f t="shared" si="24"/>
        <v>0</v>
      </c>
      <c r="BB47" s="151">
        <f t="shared" si="55"/>
        <v>0</v>
      </c>
      <c r="BC47" s="301" t="b">
        <f t="shared" si="25"/>
        <v>0</v>
      </c>
      <c r="BD47" s="109"/>
      <c r="BE47" s="313">
        <f t="shared" si="56"/>
        <v>0</v>
      </c>
      <c r="BF47" s="314">
        <f t="shared" si="26"/>
        <v>0</v>
      </c>
      <c r="BG47" s="314">
        <f t="shared" si="57"/>
        <v>0</v>
      </c>
      <c r="BH47" s="315">
        <f t="shared" si="27"/>
        <v>0</v>
      </c>
      <c r="BI47" s="308">
        <f t="shared" si="28"/>
        <v>0</v>
      </c>
      <c r="BJ47" s="308">
        <f t="shared" si="58"/>
        <v>0</v>
      </c>
      <c r="BK47" s="170">
        <f t="shared" si="29"/>
        <v>0</v>
      </c>
      <c r="BL47" s="324">
        <f t="shared" si="30"/>
        <v>0</v>
      </c>
      <c r="BM47" s="324">
        <f t="shared" si="31"/>
        <v>0</v>
      </c>
      <c r="BN47" s="324">
        <f t="shared" si="59"/>
        <v>0</v>
      </c>
      <c r="BO47" s="325">
        <f t="shared" si="60"/>
        <v>0</v>
      </c>
      <c r="BP47" s="326">
        <f t="shared" si="32"/>
        <v>0</v>
      </c>
      <c r="BQ47" s="324">
        <f t="shared" si="33"/>
        <v>0</v>
      </c>
      <c r="BR47" s="324">
        <f t="shared" si="61"/>
        <v>0</v>
      </c>
      <c r="BS47" s="325">
        <f t="shared" si="62"/>
        <v>0</v>
      </c>
      <c r="BT47" s="10"/>
      <c r="BU47" s="288">
        <f t="shared" si="34"/>
        <v>0</v>
      </c>
      <c r="BV47" s="289">
        <f t="shared" si="63"/>
        <v>0</v>
      </c>
      <c r="BW47" s="134">
        <f t="shared" si="35"/>
        <v>0</v>
      </c>
      <c r="BX47" s="294">
        <f t="shared" si="36"/>
        <v>0</v>
      </c>
      <c r="BY47" s="295">
        <f t="shared" si="37"/>
        <v>0</v>
      </c>
      <c r="BZ47" s="10"/>
      <c r="CA47" s="190">
        <f t="shared" si="38"/>
        <v>0</v>
      </c>
      <c r="CB47" s="191">
        <f t="shared" si="39"/>
        <v>0</v>
      </c>
      <c r="CC47" s="99">
        <f t="shared" si="64"/>
        <v>0</v>
      </c>
      <c r="CD47" s="299" t="str">
        <f t="shared" si="40"/>
        <v/>
      </c>
      <c r="CE47" s="305"/>
      <c r="CF47" s="10"/>
      <c r="CG47" s="10"/>
      <c r="CH47" s="10"/>
      <c r="CI47" s="10"/>
      <c r="CJ47" s="10"/>
      <c r="CK47" s="10"/>
      <c r="CL47" s="10"/>
      <c r="CM47" s="10"/>
      <c r="CN47" s="10"/>
      <c r="CO47" s="10"/>
      <c r="CP47" s="10"/>
      <c r="CQ47" s="10"/>
      <c r="CR47" s="10"/>
      <c r="CS47" s="10"/>
      <c r="CT47" s="10"/>
      <c r="CU47" s="10"/>
    </row>
    <row r="48" spans="1:99" ht="13.5" hidden="1" thickBot="1" x14ac:dyDescent="0.25">
      <c r="A48" s="11"/>
      <c r="B48" s="522" t="str">
        <f t="shared" si="41"/>
        <v>-</v>
      </c>
      <c r="C48" s="566">
        <v>16</v>
      </c>
      <c r="D48" s="616"/>
      <c r="E48" s="617"/>
      <c r="F48" s="515"/>
      <c r="G48" s="516"/>
      <c r="H48" s="581"/>
      <c r="I48" s="581"/>
      <c r="J48" s="569"/>
      <c r="K48" s="586"/>
      <c r="L48" s="587"/>
      <c r="M48" s="588"/>
      <c r="N48" s="589"/>
      <c r="O48" s="452" t="str">
        <f t="shared" si="42"/>
        <v/>
      </c>
      <c r="P48" s="453" t="str">
        <f t="shared" si="7"/>
        <v/>
      </c>
      <c r="Q48" s="499">
        <f t="shared" si="43"/>
        <v>0</v>
      </c>
      <c r="R48" s="500">
        <f t="shared" si="44"/>
        <v>0</v>
      </c>
      <c r="S48" s="454">
        <f t="shared" si="45"/>
        <v>0</v>
      </c>
      <c r="T48" s="524" t="str">
        <f t="shared" si="8"/>
        <v/>
      </c>
      <c r="U48" s="11"/>
      <c r="V48" s="12"/>
      <c r="W48" s="10"/>
      <c r="X48" s="10"/>
      <c r="Y48" s="10">
        <v>16</v>
      </c>
      <c r="Z48" s="71" t="str">
        <f t="shared" si="9"/>
        <v>-</v>
      </c>
      <c r="AA48" s="71">
        <f t="shared" si="46"/>
        <v>0</v>
      </c>
      <c r="AB48" s="10"/>
      <c r="AC48" s="134">
        <f t="shared" si="47"/>
        <v>0</v>
      </c>
      <c r="AD48" s="135">
        <f>IF(SUM(AC48:AC$112)=0,0,COUNTA(F48:G48)&gt;0)</f>
        <v>0</v>
      </c>
      <c r="AE48" s="134">
        <f t="shared" si="48"/>
        <v>0</v>
      </c>
      <c r="AF48" s="475">
        <f>IF(SUM(AC48:AC$112)=0,0,AND(AD48=FALSE,AE48=0,SUM(AE49:AE$112)&gt;0))</f>
        <v>0</v>
      </c>
      <c r="AG48" s="152">
        <f t="shared" si="10"/>
        <v>0</v>
      </c>
      <c r="AH48" s="135">
        <f t="shared" si="11"/>
        <v>0</v>
      </c>
      <c r="AI48" s="135">
        <f t="shared" si="12"/>
        <v>0</v>
      </c>
      <c r="AJ48" s="135">
        <f t="shared" si="13"/>
        <v>0</v>
      </c>
      <c r="AK48" s="183">
        <f t="shared" si="14"/>
        <v>0</v>
      </c>
      <c r="AL48" s="135">
        <f t="shared" si="15"/>
        <v>0</v>
      </c>
      <c r="AM48" s="151">
        <f t="shared" si="16"/>
        <v>0</v>
      </c>
      <c r="AN48" s="152">
        <f t="shared" si="17"/>
        <v>0</v>
      </c>
      <c r="AO48" s="135">
        <f t="shared" si="18"/>
        <v>0</v>
      </c>
      <c r="AP48" s="146">
        <f t="shared" si="49"/>
        <v>0</v>
      </c>
      <c r="AQ48" s="152">
        <f t="shared" si="50"/>
        <v>0</v>
      </c>
      <c r="AR48" s="151">
        <f t="shared" si="51"/>
        <v>0</v>
      </c>
      <c r="AS48" s="152">
        <f t="shared" si="19"/>
        <v>0</v>
      </c>
      <c r="AT48" s="135">
        <f t="shared" si="20"/>
        <v>0</v>
      </c>
      <c r="AU48" s="151">
        <f t="shared" si="21"/>
        <v>0</v>
      </c>
      <c r="AV48" s="152">
        <f t="shared" si="22"/>
        <v>0</v>
      </c>
      <c r="AW48" s="135">
        <f t="shared" si="52"/>
        <v>0</v>
      </c>
      <c r="AX48" s="134">
        <f t="shared" si="53"/>
        <v>0</v>
      </c>
      <c r="AY48" s="498" t="str">
        <f t="shared" si="54"/>
        <v/>
      </c>
      <c r="AZ48" s="152">
        <f t="shared" si="23"/>
        <v>0</v>
      </c>
      <c r="BA48" s="135">
        <f t="shared" si="24"/>
        <v>0</v>
      </c>
      <c r="BB48" s="151">
        <f t="shared" si="55"/>
        <v>0</v>
      </c>
      <c r="BC48" s="301" t="b">
        <f t="shared" si="25"/>
        <v>0</v>
      </c>
      <c r="BD48" s="109"/>
      <c r="BE48" s="313">
        <f t="shared" si="56"/>
        <v>0</v>
      </c>
      <c r="BF48" s="314">
        <f t="shared" si="26"/>
        <v>0</v>
      </c>
      <c r="BG48" s="314">
        <f t="shared" si="57"/>
        <v>0</v>
      </c>
      <c r="BH48" s="315">
        <f t="shared" si="27"/>
        <v>0</v>
      </c>
      <c r="BI48" s="308">
        <f t="shared" si="28"/>
        <v>0</v>
      </c>
      <c r="BJ48" s="308">
        <f t="shared" si="58"/>
        <v>0</v>
      </c>
      <c r="BK48" s="170">
        <f t="shared" si="29"/>
        <v>0</v>
      </c>
      <c r="BL48" s="324">
        <f t="shared" si="30"/>
        <v>0</v>
      </c>
      <c r="BM48" s="324">
        <f t="shared" si="31"/>
        <v>0</v>
      </c>
      <c r="BN48" s="324">
        <f t="shared" si="59"/>
        <v>0</v>
      </c>
      <c r="BO48" s="325">
        <f t="shared" si="60"/>
        <v>0</v>
      </c>
      <c r="BP48" s="326">
        <f t="shared" si="32"/>
        <v>0</v>
      </c>
      <c r="BQ48" s="324">
        <f t="shared" si="33"/>
        <v>0</v>
      </c>
      <c r="BR48" s="324">
        <f t="shared" si="61"/>
        <v>0</v>
      </c>
      <c r="BS48" s="325">
        <f t="shared" si="62"/>
        <v>0</v>
      </c>
      <c r="BT48" s="10"/>
      <c r="BU48" s="288">
        <f t="shared" si="34"/>
        <v>0</v>
      </c>
      <c r="BV48" s="289">
        <f t="shared" si="63"/>
        <v>0</v>
      </c>
      <c r="BW48" s="134">
        <f t="shared" si="35"/>
        <v>0</v>
      </c>
      <c r="BX48" s="294">
        <f t="shared" si="36"/>
        <v>0</v>
      </c>
      <c r="BY48" s="295">
        <f t="shared" si="37"/>
        <v>0</v>
      </c>
      <c r="BZ48" s="10"/>
      <c r="CA48" s="190">
        <f t="shared" si="38"/>
        <v>0</v>
      </c>
      <c r="CB48" s="191">
        <f t="shared" si="39"/>
        <v>0</v>
      </c>
      <c r="CC48" s="99">
        <f t="shared" si="64"/>
        <v>0</v>
      </c>
      <c r="CD48" s="299" t="str">
        <f t="shared" si="40"/>
        <v/>
      </c>
      <c r="CE48" s="305"/>
      <c r="CF48" s="10"/>
      <c r="CG48" s="10"/>
      <c r="CH48" s="10"/>
      <c r="CI48" s="10"/>
      <c r="CJ48" s="10"/>
      <c r="CK48" s="10"/>
      <c r="CL48" s="10"/>
      <c r="CM48" s="10"/>
      <c r="CN48" s="10"/>
      <c r="CO48" s="10"/>
      <c r="CP48" s="10"/>
      <c r="CQ48" s="10"/>
      <c r="CR48" s="10"/>
      <c r="CS48" s="10"/>
      <c r="CT48" s="10"/>
      <c r="CU48" s="10"/>
    </row>
    <row r="49" spans="1:99" ht="13.5" hidden="1" thickBot="1" x14ac:dyDescent="0.25">
      <c r="A49" s="11"/>
      <c r="B49" s="522" t="str">
        <f t="shared" si="41"/>
        <v>-</v>
      </c>
      <c r="C49" s="566">
        <v>17</v>
      </c>
      <c r="D49" s="616"/>
      <c r="E49" s="617"/>
      <c r="F49" s="515"/>
      <c r="G49" s="516"/>
      <c r="H49" s="581"/>
      <c r="I49" s="581"/>
      <c r="J49" s="569"/>
      <c r="K49" s="586"/>
      <c r="L49" s="587"/>
      <c r="M49" s="588"/>
      <c r="N49" s="589"/>
      <c r="O49" s="452" t="str">
        <f t="shared" si="42"/>
        <v/>
      </c>
      <c r="P49" s="453" t="str">
        <f t="shared" si="7"/>
        <v/>
      </c>
      <c r="Q49" s="499">
        <f t="shared" si="43"/>
        <v>0</v>
      </c>
      <c r="R49" s="500">
        <f t="shared" si="44"/>
        <v>0</v>
      </c>
      <c r="S49" s="454">
        <f t="shared" si="45"/>
        <v>0</v>
      </c>
      <c r="T49" s="524" t="str">
        <f t="shared" si="8"/>
        <v/>
      </c>
      <c r="U49" s="11"/>
      <c r="V49" s="12"/>
      <c r="W49" s="10"/>
      <c r="X49" s="10"/>
      <c r="Y49" s="10">
        <v>17</v>
      </c>
      <c r="Z49" s="71" t="str">
        <f t="shared" si="9"/>
        <v>-</v>
      </c>
      <c r="AA49" s="71">
        <f t="shared" si="46"/>
        <v>0</v>
      </c>
      <c r="AB49" s="10"/>
      <c r="AC49" s="134">
        <f t="shared" si="47"/>
        <v>0</v>
      </c>
      <c r="AD49" s="135">
        <f>IF(SUM(AC49:AC$112)=0,0,COUNTA(F49:G49)&gt;0)</f>
        <v>0</v>
      </c>
      <c r="AE49" s="134">
        <f t="shared" si="48"/>
        <v>0</v>
      </c>
      <c r="AF49" s="475">
        <f>IF(SUM(AC49:AC$112)=0,0,AND(AD49=FALSE,AE49=0,SUM(AE50:AE$112)&gt;0))</f>
        <v>0</v>
      </c>
      <c r="AG49" s="152">
        <f t="shared" si="10"/>
        <v>0</v>
      </c>
      <c r="AH49" s="135">
        <f t="shared" si="11"/>
        <v>0</v>
      </c>
      <c r="AI49" s="135">
        <f t="shared" si="12"/>
        <v>0</v>
      </c>
      <c r="AJ49" s="135">
        <f t="shared" si="13"/>
        <v>0</v>
      </c>
      <c r="AK49" s="183">
        <f t="shared" si="14"/>
        <v>0</v>
      </c>
      <c r="AL49" s="135">
        <f t="shared" si="15"/>
        <v>0</v>
      </c>
      <c r="AM49" s="151">
        <f t="shared" si="16"/>
        <v>0</v>
      </c>
      <c r="AN49" s="152">
        <f t="shared" si="17"/>
        <v>0</v>
      </c>
      <c r="AO49" s="135">
        <f t="shared" si="18"/>
        <v>0</v>
      </c>
      <c r="AP49" s="146">
        <f t="shared" si="49"/>
        <v>0</v>
      </c>
      <c r="AQ49" s="152">
        <f t="shared" si="50"/>
        <v>0</v>
      </c>
      <c r="AR49" s="151">
        <f t="shared" si="51"/>
        <v>0</v>
      </c>
      <c r="AS49" s="152">
        <f t="shared" si="19"/>
        <v>0</v>
      </c>
      <c r="AT49" s="135">
        <f t="shared" si="20"/>
        <v>0</v>
      </c>
      <c r="AU49" s="151">
        <f t="shared" si="21"/>
        <v>0</v>
      </c>
      <c r="AV49" s="152">
        <f t="shared" si="22"/>
        <v>0</v>
      </c>
      <c r="AW49" s="135">
        <f t="shared" si="52"/>
        <v>0</v>
      </c>
      <c r="AX49" s="134">
        <f t="shared" si="53"/>
        <v>0</v>
      </c>
      <c r="AY49" s="498" t="str">
        <f t="shared" si="54"/>
        <v/>
      </c>
      <c r="AZ49" s="152">
        <f t="shared" si="23"/>
        <v>0</v>
      </c>
      <c r="BA49" s="135">
        <f t="shared" si="24"/>
        <v>0</v>
      </c>
      <c r="BB49" s="151">
        <f t="shared" si="55"/>
        <v>0</v>
      </c>
      <c r="BC49" s="301" t="b">
        <f t="shared" si="25"/>
        <v>0</v>
      </c>
      <c r="BD49" s="109"/>
      <c r="BE49" s="313">
        <f t="shared" si="56"/>
        <v>0</v>
      </c>
      <c r="BF49" s="314">
        <f t="shared" si="26"/>
        <v>0</v>
      </c>
      <c r="BG49" s="314">
        <f t="shared" si="57"/>
        <v>0</v>
      </c>
      <c r="BH49" s="315">
        <f t="shared" si="27"/>
        <v>0</v>
      </c>
      <c r="BI49" s="308">
        <f t="shared" si="28"/>
        <v>0</v>
      </c>
      <c r="BJ49" s="308">
        <f t="shared" si="58"/>
        <v>0</v>
      </c>
      <c r="BK49" s="170">
        <f t="shared" si="29"/>
        <v>0</v>
      </c>
      <c r="BL49" s="324">
        <f t="shared" si="30"/>
        <v>0</v>
      </c>
      <c r="BM49" s="324">
        <f t="shared" si="31"/>
        <v>0</v>
      </c>
      <c r="BN49" s="324">
        <f t="shared" si="59"/>
        <v>0</v>
      </c>
      <c r="BO49" s="325">
        <f t="shared" si="60"/>
        <v>0</v>
      </c>
      <c r="BP49" s="326">
        <f t="shared" si="32"/>
        <v>0</v>
      </c>
      <c r="BQ49" s="324">
        <f t="shared" si="33"/>
        <v>0</v>
      </c>
      <c r="BR49" s="324">
        <f t="shared" si="61"/>
        <v>0</v>
      </c>
      <c r="BS49" s="325">
        <f t="shared" si="62"/>
        <v>0</v>
      </c>
      <c r="BT49" s="10"/>
      <c r="BU49" s="288">
        <f t="shared" si="34"/>
        <v>0</v>
      </c>
      <c r="BV49" s="289">
        <f t="shared" si="63"/>
        <v>0</v>
      </c>
      <c r="BW49" s="134">
        <f t="shared" si="35"/>
        <v>0</v>
      </c>
      <c r="BX49" s="294">
        <f t="shared" si="36"/>
        <v>0</v>
      </c>
      <c r="BY49" s="295">
        <f t="shared" si="37"/>
        <v>0</v>
      </c>
      <c r="BZ49" s="10"/>
      <c r="CA49" s="190">
        <f t="shared" si="38"/>
        <v>0</v>
      </c>
      <c r="CB49" s="191">
        <f t="shared" si="39"/>
        <v>0</v>
      </c>
      <c r="CC49" s="99">
        <f t="shared" si="64"/>
        <v>0</v>
      </c>
      <c r="CD49" s="299" t="str">
        <f t="shared" si="40"/>
        <v/>
      </c>
      <c r="CE49" s="305"/>
      <c r="CF49" s="10"/>
      <c r="CG49" s="10"/>
      <c r="CH49" s="10"/>
      <c r="CI49" s="10"/>
      <c r="CJ49" s="10"/>
      <c r="CK49" s="10"/>
      <c r="CL49" s="10"/>
      <c r="CM49" s="10"/>
      <c r="CN49" s="10"/>
      <c r="CO49" s="10"/>
      <c r="CP49" s="10"/>
      <c r="CQ49" s="10"/>
      <c r="CR49" s="10"/>
      <c r="CS49" s="10"/>
      <c r="CT49" s="10"/>
      <c r="CU49" s="10"/>
    </row>
    <row r="50" spans="1:99" ht="13.5" hidden="1" thickBot="1" x14ac:dyDescent="0.25">
      <c r="A50" s="11"/>
      <c r="B50" s="522" t="str">
        <f t="shared" si="41"/>
        <v>-</v>
      </c>
      <c r="C50" s="566">
        <v>18</v>
      </c>
      <c r="D50" s="616"/>
      <c r="E50" s="617"/>
      <c r="F50" s="515"/>
      <c r="G50" s="516"/>
      <c r="H50" s="581"/>
      <c r="I50" s="581"/>
      <c r="J50" s="569"/>
      <c r="K50" s="586"/>
      <c r="L50" s="587"/>
      <c r="M50" s="588"/>
      <c r="N50" s="589"/>
      <c r="O50" s="452" t="str">
        <f t="shared" si="42"/>
        <v/>
      </c>
      <c r="P50" s="453" t="str">
        <f t="shared" si="7"/>
        <v/>
      </c>
      <c r="Q50" s="499">
        <f t="shared" si="43"/>
        <v>0</v>
      </c>
      <c r="R50" s="500">
        <f t="shared" si="44"/>
        <v>0</v>
      </c>
      <c r="S50" s="454">
        <f t="shared" si="45"/>
        <v>0</v>
      </c>
      <c r="T50" s="524" t="str">
        <f t="shared" si="8"/>
        <v/>
      </c>
      <c r="U50" s="11"/>
      <c r="V50" s="12"/>
      <c r="W50" s="10"/>
      <c r="X50" s="10"/>
      <c r="Y50" s="10">
        <v>18</v>
      </c>
      <c r="Z50" s="71" t="str">
        <f t="shared" si="9"/>
        <v>-</v>
      </c>
      <c r="AA50" s="71">
        <f t="shared" si="46"/>
        <v>0</v>
      </c>
      <c r="AB50" s="10"/>
      <c r="AC50" s="134">
        <f t="shared" si="47"/>
        <v>0</v>
      </c>
      <c r="AD50" s="135">
        <f>IF(SUM(AC50:AC$112)=0,0,COUNTA(F50:G50)&gt;0)</f>
        <v>0</v>
      </c>
      <c r="AE50" s="134">
        <f t="shared" si="48"/>
        <v>0</v>
      </c>
      <c r="AF50" s="475">
        <f>IF(SUM(AC50:AC$112)=0,0,AND(AD50=FALSE,AE50=0,SUM(AE51:AE$112)&gt;0))</f>
        <v>0</v>
      </c>
      <c r="AG50" s="152">
        <f t="shared" si="10"/>
        <v>0</v>
      </c>
      <c r="AH50" s="135">
        <f t="shared" si="11"/>
        <v>0</v>
      </c>
      <c r="AI50" s="135">
        <f t="shared" si="12"/>
        <v>0</v>
      </c>
      <c r="AJ50" s="135">
        <f t="shared" si="13"/>
        <v>0</v>
      </c>
      <c r="AK50" s="183">
        <f t="shared" si="14"/>
        <v>0</v>
      </c>
      <c r="AL50" s="135">
        <f t="shared" si="15"/>
        <v>0</v>
      </c>
      <c r="AM50" s="151">
        <f t="shared" si="16"/>
        <v>0</v>
      </c>
      <c r="AN50" s="152">
        <f t="shared" si="17"/>
        <v>0</v>
      </c>
      <c r="AO50" s="135">
        <f t="shared" si="18"/>
        <v>0</v>
      </c>
      <c r="AP50" s="146">
        <f t="shared" si="49"/>
        <v>0</v>
      </c>
      <c r="AQ50" s="152">
        <f t="shared" si="50"/>
        <v>0</v>
      </c>
      <c r="AR50" s="151">
        <f t="shared" si="51"/>
        <v>0</v>
      </c>
      <c r="AS50" s="152">
        <f t="shared" si="19"/>
        <v>0</v>
      </c>
      <c r="AT50" s="135">
        <f t="shared" si="20"/>
        <v>0</v>
      </c>
      <c r="AU50" s="151">
        <f t="shared" si="21"/>
        <v>0</v>
      </c>
      <c r="AV50" s="152">
        <f t="shared" si="22"/>
        <v>0</v>
      </c>
      <c r="AW50" s="135">
        <f t="shared" si="52"/>
        <v>0</v>
      </c>
      <c r="AX50" s="134">
        <f t="shared" si="53"/>
        <v>0</v>
      </c>
      <c r="AY50" s="498" t="str">
        <f t="shared" si="54"/>
        <v/>
      </c>
      <c r="AZ50" s="152">
        <f t="shared" si="23"/>
        <v>0</v>
      </c>
      <c r="BA50" s="135">
        <f t="shared" si="24"/>
        <v>0</v>
      </c>
      <c r="BB50" s="151">
        <f t="shared" si="55"/>
        <v>0</v>
      </c>
      <c r="BC50" s="301" t="b">
        <f t="shared" si="25"/>
        <v>0</v>
      </c>
      <c r="BD50" s="109"/>
      <c r="BE50" s="313">
        <f t="shared" si="56"/>
        <v>0</v>
      </c>
      <c r="BF50" s="314">
        <f t="shared" si="26"/>
        <v>0</v>
      </c>
      <c r="BG50" s="314">
        <f t="shared" si="57"/>
        <v>0</v>
      </c>
      <c r="BH50" s="315">
        <f t="shared" si="27"/>
        <v>0</v>
      </c>
      <c r="BI50" s="308">
        <f t="shared" si="28"/>
        <v>0</v>
      </c>
      <c r="BJ50" s="308">
        <f t="shared" si="58"/>
        <v>0</v>
      </c>
      <c r="BK50" s="170">
        <f t="shared" si="29"/>
        <v>0</v>
      </c>
      <c r="BL50" s="324">
        <f t="shared" si="30"/>
        <v>0</v>
      </c>
      <c r="BM50" s="324">
        <f t="shared" si="31"/>
        <v>0</v>
      </c>
      <c r="BN50" s="324">
        <f t="shared" si="59"/>
        <v>0</v>
      </c>
      <c r="BO50" s="325">
        <f t="shared" si="60"/>
        <v>0</v>
      </c>
      <c r="BP50" s="326">
        <f t="shared" si="32"/>
        <v>0</v>
      </c>
      <c r="BQ50" s="324">
        <f t="shared" si="33"/>
        <v>0</v>
      </c>
      <c r="BR50" s="324">
        <f t="shared" si="61"/>
        <v>0</v>
      </c>
      <c r="BS50" s="325">
        <f t="shared" si="62"/>
        <v>0</v>
      </c>
      <c r="BT50" s="10"/>
      <c r="BU50" s="288">
        <f t="shared" si="34"/>
        <v>0</v>
      </c>
      <c r="BV50" s="289">
        <f t="shared" si="63"/>
        <v>0</v>
      </c>
      <c r="BW50" s="134">
        <f t="shared" si="35"/>
        <v>0</v>
      </c>
      <c r="BX50" s="294">
        <f t="shared" si="36"/>
        <v>0</v>
      </c>
      <c r="BY50" s="295">
        <f t="shared" si="37"/>
        <v>0</v>
      </c>
      <c r="BZ50" s="10"/>
      <c r="CA50" s="190">
        <f t="shared" si="38"/>
        <v>0</v>
      </c>
      <c r="CB50" s="191">
        <f t="shared" si="39"/>
        <v>0</v>
      </c>
      <c r="CC50" s="99">
        <f t="shared" si="64"/>
        <v>0</v>
      </c>
      <c r="CD50" s="299" t="str">
        <f t="shared" si="40"/>
        <v/>
      </c>
      <c r="CE50" s="305"/>
      <c r="CF50" s="10"/>
      <c r="CG50" s="10"/>
      <c r="CH50" s="10"/>
      <c r="CI50" s="10"/>
      <c r="CJ50" s="10"/>
      <c r="CK50" s="10"/>
      <c r="CL50" s="10"/>
      <c r="CM50" s="10"/>
      <c r="CN50" s="10"/>
      <c r="CO50" s="10"/>
      <c r="CP50" s="10"/>
      <c r="CQ50" s="10"/>
      <c r="CR50" s="10"/>
      <c r="CS50" s="10"/>
      <c r="CT50" s="10"/>
      <c r="CU50" s="10"/>
    </row>
    <row r="51" spans="1:99" ht="13.5" hidden="1" thickBot="1" x14ac:dyDescent="0.25">
      <c r="A51" s="11"/>
      <c r="B51" s="522" t="str">
        <f t="shared" si="41"/>
        <v>-</v>
      </c>
      <c r="C51" s="566">
        <v>19</v>
      </c>
      <c r="D51" s="616"/>
      <c r="E51" s="617"/>
      <c r="F51" s="515"/>
      <c r="G51" s="516"/>
      <c r="H51" s="581"/>
      <c r="I51" s="581"/>
      <c r="J51" s="569"/>
      <c r="K51" s="586"/>
      <c r="L51" s="587"/>
      <c r="M51" s="588"/>
      <c r="N51" s="589"/>
      <c r="O51" s="452" t="str">
        <f t="shared" si="42"/>
        <v/>
      </c>
      <c r="P51" s="453" t="str">
        <f t="shared" si="7"/>
        <v/>
      </c>
      <c r="Q51" s="499">
        <f t="shared" si="43"/>
        <v>0</v>
      </c>
      <c r="R51" s="500">
        <f t="shared" si="44"/>
        <v>0</v>
      </c>
      <c r="S51" s="454">
        <f t="shared" si="45"/>
        <v>0</v>
      </c>
      <c r="T51" s="524" t="str">
        <f t="shared" si="8"/>
        <v/>
      </c>
      <c r="U51" s="11"/>
      <c r="V51" s="12"/>
      <c r="W51" s="10"/>
      <c r="X51" s="10"/>
      <c r="Y51" s="10">
        <v>19</v>
      </c>
      <c r="Z51" s="71" t="str">
        <f t="shared" si="9"/>
        <v>-</v>
      </c>
      <c r="AA51" s="71">
        <f t="shared" si="46"/>
        <v>0</v>
      </c>
      <c r="AB51" s="10"/>
      <c r="AC51" s="134">
        <f t="shared" si="47"/>
        <v>0</v>
      </c>
      <c r="AD51" s="135">
        <f>IF(SUM(AC51:AC$112)=0,0,COUNTA(F51:G51)&gt;0)</f>
        <v>0</v>
      </c>
      <c r="AE51" s="134">
        <f t="shared" si="48"/>
        <v>0</v>
      </c>
      <c r="AF51" s="475">
        <f>IF(SUM(AC51:AC$112)=0,0,AND(AD51=FALSE,AE51=0,SUM(AE52:AE$112)&gt;0))</f>
        <v>0</v>
      </c>
      <c r="AG51" s="152">
        <f t="shared" si="10"/>
        <v>0</v>
      </c>
      <c r="AH51" s="135">
        <f t="shared" si="11"/>
        <v>0</v>
      </c>
      <c r="AI51" s="135">
        <f t="shared" si="12"/>
        <v>0</v>
      </c>
      <c r="AJ51" s="135">
        <f t="shared" si="13"/>
        <v>0</v>
      </c>
      <c r="AK51" s="183">
        <f t="shared" si="14"/>
        <v>0</v>
      </c>
      <c r="AL51" s="135">
        <f t="shared" si="15"/>
        <v>0</v>
      </c>
      <c r="AM51" s="151">
        <f t="shared" si="16"/>
        <v>0</v>
      </c>
      <c r="AN51" s="152">
        <f t="shared" si="17"/>
        <v>0</v>
      </c>
      <c r="AO51" s="135">
        <f t="shared" si="18"/>
        <v>0</v>
      </c>
      <c r="AP51" s="146">
        <f t="shared" si="49"/>
        <v>0</v>
      </c>
      <c r="AQ51" s="152">
        <f t="shared" si="50"/>
        <v>0</v>
      </c>
      <c r="AR51" s="151">
        <f t="shared" si="51"/>
        <v>0</v>
      </c>
      <c r="AS51" s="152">
        <f t="shared" si="19"/>
        <v>0</v>
      </c>
      <c r="AT51" s="135">
        <f t="shared" si="20"/>
        <v>0</v>
      </c>
      <c r="AU51" s="151">
        <f t="shared" si="21"/>
        <v>0</v>
      </c>
      <c r="AV51" s="152">
        <f t="shared" si="22"/>
        <v>0</v>
      </c>
      <c r="AW51" s="135">
        <f t="shared" si="52"/>
        <v>0</v>
      </c>
      <c r="AX51" s="134">
        <f t="shared" si="53"/>
        <v>0</v>
      </c>
      <c r="AY51" s="498" t="str">
        <f t="shared" si="54"/>
        <v/>
      </c>
      <c r="AZ51" s="152">
        <f t="shared" si="23"/>
        <v>0</v>
      </c>
      <c r="BA51" s="135">
        <f t="shared" si="24"/>
        <v>0</v>
      </c>
      <c r="BB51" s="151">
        <f t="shared" si="55"/>
        <v>0</v>
      </c>
      <c r="BC51" s="301" t="b">
        <f t="shared" si="25"/>
        <v>0</v>
      </c>
      <c r="BD51" s="109"/>
      <c r="BE51" s="313">
        <f t="shared" si="56"/>
        <v>0</v>
      </c>
      <c r="BF51" s="314">
        <f t="shared" si="26"/>
        <v>0</v>
      </c>
      <c r="BG51" s="314">
        <f t="shared" si="57"/>
        <v>0</v>
      </c>
      <c r="BH51" s="315">
        <f t="shared" si="27"/>
        <v>0</v>
      </c>
      <c r="BI51" s="308">
        <f t="shared" si="28"/>
        <v>0</v>
      </c>
      <c r="BJ51" s="308">
        <f t="shared" si="58"/>
        <v>0</v>
      </c>
      <c r="BK51" s="170">
        <f t="shared" si="29"/>
        <v>0</v>
      </c>
      <c r="BL51" s="324">
        <f t="shared" si="30"/>
        <v>0</v>
      </c>
      <c r="BM51" s="324">
        <f t="shared" si="31"/>
        <v>0</v>
      </c>
      <c r="BN51" s="324">
        <f t="shared" si="59"/>
        <v>0</v>
      </c>
      <c r="BO51" s="325">
        <f t="shared" si="60"/>
        <v>0</v>
      </c>
      <c r="BP51" s="326">
        <f t="shared" si="32"/>
        <v>0</v>
      </c>
      <c r="BQ51" s="324">
        <f t="shared" si="33"/>
        <v>0</v>
      </c>
      <c r="BR51" s="324">
        <f t="shared" si="61"/>
        <v>0</v>
      </c>
      <c r="BS51" s="325">
        <f t="shared" si="62"/>
        <v>0</v>
      </c>
      <c r="BT51" s="10"/>
      <c r="BU51" s="288">
        <f t="shared" si="34"/>
        <v>0</v>
      </c>
      <c r="BV51" s="289">
        <f t="shared" si="63"/>
        <v>0</v>
      </c>
      <c r="BW51" s="134">
        <f t="shared" si="35"/>
        <v>0</v>
      </c>
      <c r="BX51" s="294">
        <f t="shared" si="36"/>
        <v>0</v>
      </c>
      <c r="BY51" s="295">
        <f t="shared" si="37"/>
        <v>0</v>
      </c>
      <c r="BZ51" s="10"/>
      <c r="CA51" s="190">
        <f t="shared" si="38"/>
        <v>0</v>
      </c>
      <c r="CB51" s="191">
        <f t="shared" si="39"/>
        <v>0</v>
      </c>
      <c r="CC51" s="99">
        <f t="shared" si="64"/>
        <v>0</v>
      </c>
      <c r="CD51" s="299" t="str">
        <f t="shared" si="40"/>
        <v/>
      </c>
      <c r="CE51" s="305"/>
      <c r="CF51" s="10"/>
      <c r="CG51" s="10"/>
      <c r="CH51" s="10"/>
      <c r="CI51" s="10"/>
      <c r="CJ51" s="10"/>
      <c r="CK51" s="10"/>
      <c r="CL51" s="10"/>
      <c r="CM51" s="10"/>
      <c r="CN51" s="10"/>
      <c r="CO51" s="10"/>
      <c r="CP51" s="10"/>
      <c r="CQ51" s="10"/>
      <c r="CR51" s="10"/>
      <c r="CS51" s="10"/>
      <c r="CT51" s="10"/>
      <c r="CU51" s="10"/>
    </row>
    <row r="52" spans="1:99" ht="13.5" hidden="1" thickBot="1" x14ac:dyDescent="0.25">
      <c r="A52" s="11"/>
      <c r="B52" s="522" t="str">
        <f t="shared" si="41"/>
        <v>-</v>
      </c>
      <c r="C52" s="566">
        <v>20</v>
      </c>
      <c r="D52" s="616"/>
      <c r="E52" s="620"/>
      <c r="F52" s="515"/>
      <c r="G52" s="516"/>
      <c r="H52" s="581"/>
      <c r="I52" s="581"/>
      <c r="J52" s="569"/>
      <c r="K52" s="586"/>
      <c r="L52" s="587"/>
      <c r="M52" s="588"/>
      <c r="N52" s="589"/>
      <c r="O52" s="452" t="str">
        <f t="shared" si="42"/>
        <v/>
      </c>
      <c r="P52" s="453" t="str">
        <f t="shared" si="7"/>
        <v/>
      </c>
      <c r="Q52" s="499">
        <f t="shared" si="43"/>
        <v>0</v>
      </c>
      <c r="R52" s="500">
        <f t="shared" si="44"/>
        <v>0</v>
      </c>
      <c r="S52" s="454">
        <f t="shared" si="45"/>
        <v>0</v>
      </c>
      <c r="T52" s="524" t="str">
        <f t="shared" si="8"/>
        <v/>
      </c>
      <c r="U52" s="11"/>
      <c r="V52" s="12"/>
      <c r="W52" s="10"/>
      <c r="X52" s="10"/>
      <c r="Y52" s="10">
        <v>20</v>
      </c>
      <c r="Z52" s="71" t="str">
        <f t="shared" si="9"/>
        <v>-</v>
      </c>
      <c r="AA52" s="71">
        <f t="shared" si="46"/>
        <v>0</v>
      </c>
      <c r="AB52" s="10"/>
      <c r="AC52" s="134">
        <f t="shared" si="47"/>
        <v>0</v>
      </c>
      <c r="AD52" s="135">
        <f>IF(SUM(AC52:AC$112)=0,0,COUNTA(F52:G52)&gt;0)</f>
        <v>0</v>
      </c>
      <c r="AE52" s="134">
        <f t="shared" si="48"/>
        <v>0</v>
      </c>
      <c r="AF52" s="475">
        <f>IF(SUM(AC52:AC$112)=0,0,AND(AD52=FALSE,AE52=0,SUM(AE53:AE$112)&gt;0))</f>
        <v>0</v>
      </c>
      <c r="AG52" s="152">
        <f t="shared" si="10"/>
        <v>0</v>
      </c>
      <c r="AH52" s="135">
        <f t="shared" si="11"/>
        <v>0</v>
      </c>
      <c r="AI52" s="135">
        <f t="shared" si="12"/>
        <v>0</v>
      </c>
      <c r="AJ52" s="135">
        <f t="shared" si="13"/>
        <v>0</v>
      </c>
      <c r="AK52" s="183">
        <f t="shared" si="14"/>
        <v>0</v>
      </c>
      <c r="AL52" s="135">
        <f t="shared" si="15"/>
        <v>0</v>
      </c>
      <c r="AM52" s="151">
        <f t="shared" si="16"/>
        <v>0</v>
      </c>
      <c r="AN52" s="152">
        <f t="shared" si="17"/>
        <v>0</v>
      </c>
      <c r="AO52" s="135">
        <f t="shared" si="18"/>
        <v>0</v>
      </c>
      <c r="AP52" s="146">
        <f t="shared" si="49"/>
        <v>0</v>
      </c>
      <c r="AQ52" s="152">
        <f t="shared" si="50"/>
        <v>0</v>
      </c>
      <c r="AR52" s="151">
        <f t="shared" si="51"/>
        <v>0</v>
      </c>
      <c r="AS52" s="152">
        <f t="shared" si="19"/>
        <v>0</v>
      </c>
      <c r="AT52" s="135">
        <f t="shared" si="20"/>
        <v>0</v>
      </c>
      <c r="AU52" s="151">
        <f t="shared" si="21"/>
        <v>0</v>
      </c>
      <c r="AV52" s="152">
        <f t="shared" si="22"/>
        <v>0</v>
      </c>
      <c r="AW52" s="135">
        <f t="shared" si="52"/>
        <v>0</v>
      </c>
      <c r="AX52" s="134">
        <f t="shared" si="53"/>
        <v>0</v>
      </c>
      <c r="AY52" s="498" t="str">
        <f t="shared" si="54"/>
        <v/>
      </c>
      <c r="AZ52" s="152">
        <f t="shared" si="23"/>
        <v>0</v>
      </c>
      <c r="BA52" s="135">
        <f t="shared" si="24"/>
        <v>0</v>
      </c>
      <c r="BB52" s="151">
        <f t="shared" si="55"/>
        <v>0</v>
      </c>
      <c r="BC52" s="301" t="b">
        <f t="shared" si="25"/>
        <v>0</v>
      </c>
      <c r="BD52" s="109"/>
      <c r="BE52" s="313">
        <f t="shared" si="56"/>
        <v>0</v>
      </c>
      <c r="BF52" s="314">
        <f t="shared" si="26"/>
        <v>0</v>
      </c>
      <c r="BG52" s="314">
        <f t="shared" si="57"/>
        <v>0</v>
      </c>
      <c r="BH52" s="315">
        <f t="shared" si="27"/>
        <v>0</v>
      </c>
      <c r="BI52" s="308">
        <f t="shared" si="28"/>
        <v>0</v>
      </c>
      <c r="BJ52" s="308">
        <f t="shared" si="58"/>
        <v>0</v>
      </c>
      <c r="BK52" s="170">
        <f t="shared" si="29"/>
        <v>0</v>
      </c>
      <c r="BL52" s="324">
        <f t="shared" si="30"/>
        <v>0</v>
      </c>
      <c r="BM52" s="324">
        <f t="shared" si="31"/>
        <v>0</v>
      </c>
      <c r="BN52" s="324">
        <f t="shared" si="59"/>
        <v>0</v>
      </c>
      <c r="BO52" s="325">
        <f t="shared" si="60"/>
        <v>0</v>
      </c>
      <c r="BP52" s="326">
        <f t="shared" si="32"/>
        <v>0</v>
      </c>
      <c r="BQ52" s="324">
        <f t="shared" si="33"/>
        <v>0</v>
      </c>
      <c r="BR52" s="324">
        <f t="shared" si="61"/>
        <v>0</v>
      </c>
      <c r="BS52" s="325">
        <f t="shared" si="62"/>
        <v>0</v>
      </c>
      <c r="BT52" s="10"/>
      <c r="BU52" s="288">
        <f t="shared" si="34"/>
        <v>0</v>
      </c>
      <c r="BV52" s="289">
        <f t="shared" si="63"/>
        <v>0</v>
      </c>
      <c r="BW52" s="134">
        <f t="shared" si="35"/>
        <v>0</v>
      </c>
      <c r="BX52" s="294">
        <f t="shared" si="36"/>
        <v>0</v>
      </c>
      <c r="BY52" s="295">
        <f t="shared" si="37"/>
        <v>0</v>
      </c>
      <c r="BZ52" s="10"/>
      <c r="CA52" s="190">
        <f t="shared" si="38"/>
        <v>0</v>
      </c>
      <c r="CB52" s="191">
        <f t="shared" si="39"/>
        <v>0</v>
      </c>
      <c r="CC52" s="99">
        <f t="shared" si="64"/>
        <v>0</v>
      </c>
      <c r="CD52" s="299" t="str">
        <f t="shared" si="40"/>
        <v/>
      </c>
      <c r="CE52" s="305"/>
      <c r="CF52" s="10"/>
      <c r="CG52" s="10"/>
      <c r="CH52" s="10"/>
      <c r="CI52" s="10"/>
      <c r="CJ52" s="10"/>
      <c r="CK52" s="10"/>
      <c r="CL52" s="10"/>
      <c r="CM52" s="10"/>
      <c r="CN52" s="10"/>
      <c r="CO52" s="10"/>
      <c r="CP52" s="10"/>
      <c r="CQ52" s="10"/>
      <c r="CR52" s="10"/>
      <c r="CS52" s="10"/>
      <c r="CT52" s="10"/>
      <c r="CU52" s="10"/>
    </row>
    <row r="53" spans="1:99" ht="13.5" hidden="1" thickBot="1" x14ac:dyDescent="0.25">
      <c r="A53" s="11"/>
      <c r="B53" s="522" t="str">
        <f t="shared" si="41"/>
        <v>-</v>
      </c>
      <c r="C53" s="566">
        <v>21</v>
      </c>
      <c r="D53" s="616"/>
      <c r="E53" s="617"/>
      <c r="F53" s="515"/>
      <c r="G53" s="516"/>
      <c r="H53" s="581"/>
      <c r="I53" s="581"/>
      <c r="J53" s="569"/>
      <c r="K53" s="586"/>
      <c r="L53" s="587"/>
      <c r="M53" s="588"/>
      <c r="N53" s="589"/>
      <c r="O53" s="452" t="str">
        <f t="shared" si="42"/>
        <v/>
      </c>
      <c r="P53" s="453" t="str">
        <f t="shared" si="7"/>
        <v/>
      </c>
      <c r="Q53" s="499">
        <f t="shared" si="43"/>
        <v>0</v>
      </c>
      <c r="R53" s="500">
        <f t="shared" si="44"/>
        <v>0</v>
      </c>
      <c r="S53" s="454">
        <f t="shared" si="45"/>
        <v>0</v>
      </c>
      <c r="T53" s="524" t="str">
        <f t="shared" si="8"/>
        <v/>
      </c>
      <c r="U53" s="11"/>
      <c r="V53" s="12"/>
      <c r="W53" s="10"/>
      <c r="X53" s="10"/>
      <c r="Y53" s="10">
        <v>21</v>
      </c>
      <c r="Z53" s="71" t="str">
        <f t="shared" si="9"/>
        <v>-</v>
      </c>
      <c r="AA53" s="71">
        <f t="shared" si="46"/>
        <v>0</v>
      </c>
      <c r="AB53" s="10"/>
      <c r="AC53" s="134">
        <f t="shared" si="47"/>
        <v>0</v>
      </c>
      <c r="AD53" s="135">
        <f>IF(SUM(AC53:AC$112)=0,0,COUNTA(F53:G53)&gt;0)</f>
        <v>0</v>
      </c>
      <c r="AE53" s="134">
        <f t="shared" si="48"/>
        <v>0</v>
      </c>
      <c r="AF53" s="475">
        <f>IF(SUM(AC53:AC$112)=0,0,AND(AD53=FALSE,AE53=0,SUM(AE54:AE$112)&gt;0))</f>
        <v>0</v>
      </c>
      <c r="AG53" s="152">
        <f t="shared" si="10"/>
        <v>0</v>
      </c>
      <c r="AH53" s="135">
        <f t="shared" si="11"/>
        <v>0</v>
      </c>
      <c r="AI53" s="135">
        <f t="shared" si="12"/>
        <v>0</v>
      </c>
      <c r="AJ53" s="135">
        <f t="shared" si="13"/>
        <v>0</v>
      </c>
      <c r="AK53" s="183">
        <f t="shared" si="14"/>
        <v>0</v>
      </c>
      <c r="AL53" s="135">
        <f t="shared" si="15"/>
        <v>0</v>
      </c>
      <c r="AM53" s="151">
        <f t="shared" si="16"/>
        <v>0</v>
      </c>
      <c r="AN53" s="152">
        <f t="shared" si="17"/>
        <v>0</v>
      </c>
      <c r="AO53" s="135">
        <f t="shared" si="18"/>
        <v>0</v>
      </c>
      <c r="AP53" s="146">
        <f t="shared" si="49"/>
        <v>0</v>
      </c>
      <c r="AQ53" s="152">
        <f t="shared" si="50"/>
        <v>0</v>
      </c>
      <c r="AR53" s="151">
        <f t="shared" si="51"/>
        <v>0</v>
      </c>
      <c r="AS53" s="152">
        <f t="shared" si="19"/>
        <v>0</v>
      </c>
      <c r="AT53" s="135">
        <f t="shared" si="20"/>
        <v>0</v>
      </c>
      <c r="AU53" s="151">
        <f t="shared" si="21"/>
        <v>0</v>
      </c>
      <c r="AV53" s="152">
        <f t="shared" si="22"/>
        <v>0</v>
      </c>
      <c r="AW53" s="135">
        <f t="shared" si="52"/>
        <v>0</v>
      </c>
      <c r="AX53" s="134">
        <f t="shared" si="53"/>
        <v>0</v>
      </c>
      <c r="AY53" s="498" t="str">
        <f t="shared" si="54"/>
        <v/>
      </c>
      <c r="AZ53" s="152">
        <f t="shared" si="23"/>
        <v>0</v>
      </c>
      <c r="BA53" s="135">
        <f t="shared" si="24"/>
        <v>0</v>
      </c>
      <c r="BB53" s="151">
        <f t="shared" si="55"/>
        <v>0</v>
      </c>
      <c r="BC53" s="301" t="b">
        <f t="shared" si="25"/>
        <v>0</v>
      </c>
      <c r="BD53" s="109"/>
      <c r="BE53" s="313">
        <f t="shared" si="56"/>
        <v>0</v>
      </c>
      <c r="BF53" s="314">
        <f t="shared" si="26"/>
        <v>0</v>
      </c>
      <c r="BG53" s="314">
        <f t="shared" si="57"/>
        <v>0</v>
      </c>
      <c r="BH53" s="315">
        <f t="shared" si="27"/>
        <v>0</v>
      </c>
      <c r="BI53" s="308">
        <f t="shared" si="28"/>
        <v>0</v>
      </c>
      <c r="BJ53" s="308">
        <f t="shared" si="58"/>
        <v>0</v>
      </c>
      <c r="BK53" s="170">
        <f t="shared" si="29"/>
        <v>0</v>
      </c>
      <c r="BL53" s="324">
        <f t="shared" si="30"/>
        <v>0</v>
      </c>
      <c r="BM53" s="324">
        <f t="shared" si="31"/>
        <v>0</v>
      </c>
      <c r="BN53" s="324">
        <f t="shared" si="59"/>
        <v>0</v>
      </c>
      <c r="BO53" s="325">
        <f t="shared" si="60"/>
        <v>0</v>
      </c>
      <c r="BP53" s="326">
        <f t="shared" si="32"/>
        <v>0</v>
      </c>
      <c r="BQ53" s="324">
        <f t="shared" si="33"/>
        <v>0</v>
      </c>
      <c r="BR53" s="324">
        <f t="shared" si="61"/>
        <v>0</v>
      </c>
      <c r="BS53" s="325">
        <f t="shared" si="62"/>
        <v>0</v>
      </c>
      <c r="BT53" s="10"/>
      <c r="BU53" s="288">
        <f t="shared" si="34"/>
        <v>0</v>
      </c>
      <c r="BV53" s="289">
        <f t="shared" si="63"/>
        <v>0</v>
      </c>
      <c r="BW53" s="134">
        <f t="shared" si="35"/>
        <v>0</v>
      </c>
      <c r="BX53" s="294">
        <f t="shared" si="36"/>
        <v>0</v>
      </c>
      <c r="BY53" s="295">
        <f t="shared" si="37"/>
        <v>0</v>
      </c>
      <c r="BZ53" s="10"/>
      <c r="CA53" s="190">
        <f t="shared" si="38"/>
        <v>0</v>
      </c>
      <c r="CB53" s="191">
        <f t="shared" si="39"/>
        <v>0</v>
      </c>
      <c r="CC53" s="99">
        <f t="shared" si="64"/>
        <v>0</v>
      </c>
      <c r="CD53" s="299" t="str">
        <f t="shared" si="40"/>
        <v/>
      </c>
      <c r="CE53" s="305"/>
      <c r="CF53" s="10"/>
      <c r="CG53" s="10"/>
      <c r="CH53" s="10"/>
      <c r="CI53" s="10"/>
      <c r="CJ53" s="10"/>
      <c r="CK53" s="10"/>
      <c r="CL53" s="10"/>
      <c r="CM53" s="10"/>
      <c r="CN53" s="10"/>
      <c r="CO53" s="10"/>
      <c r="CP53" s="10"/>
      <c r="CQ53" s="10"/>
      <c r="CR53" s="10"/>
      <c r="CS53" s="10"/>
      <c r="CT53" s="10"/>
      <c r="CU53" s="10"/>
    </row>
    <row r="54" spans="1:99" ht="13.5" hidden="1" thickBot="1" x14ac:dyDescent="0.25">
      <c r="A54" s="11"/>
      <c r="B54" s="522" t="str">
        <f t="shared" si="41"/>
        <v>-</v>
      </c>
      <c r="C54" s="566">
        <v>22</v>
      </c>
      <c r="D54" s="616"/>
      <c r="E54" s="617"/>
      <c r="F54" s="515"/>
      <c r="G54" s="516"/>
      <c r="H54" s="581"/>
      <c r="I54" s="581"/>
      <c r="J54" s="569"/>
      <c r="K54" s="586"/>
      <c r="L54" s="587"/>
      <c r="M54" s="588"/>
      <c r="N54" s="589"/>
      <c r="O54" s="452" t="str">
        <f t="shared" si="42"/>
        <v/>
      </c>
      <c r="P54" s="453" t="str">
        <f t="shared" si="7"/>
        <v/>
      </c>
      <c r="Q54" s="499">
        <f t="shared" si="43"/>
        <v>0</v>
      </c>
      <c r="R54" s="500">
        <f t="shared" si="44"/>
        <v>0</v>
      </c>
      <c r="S54" s="454">
        <f t="shared" si="45"/>
        <v>0</v>
      </c>
      <c r="T54" s="524" t="str">
        <f t="shared" si="8"/>
        <v/>
      </c>
      <c r="U54" s="11"/>
      <c r="V54" s="12"/>
      <c r="W54" s="10"/>
      <c r="X54" s="10"/>
      <c r="Y54" s="10">
        <v>22</v>
      </c>
      <c r="Z54" s="71" t="str">
        <f t="shared" si="9"/>
        <v>-</v>
      </c>
      <c r="AA54" s="71">
        <f t="shared" si="46"/>
        <v>0</v>
      </c>
      <c r="AB54" s="10"/>
      <c r="AC54" s="134">
        <f t="shared" si="47"/>
        <v>0</v>
      </c>
      <c r="AD54" s="135">
        <f>IF(SUM(AC54:AC$112)=0,0,COUNTA(F54:G54)&gt;0)</f>
        <v>0</v>
      </c>
      <c r="AE54" s="134">
        <f t="shared" si="48"/>
        <v>0</v>
      </c>
      <c r="AF54" s="475">
        <f>IF(SUM(AC54:AC$112)=0,0,AND(AD54=FALSE,AE54=0,SUM(AE55:AE$112)&gt;0))</f>
        <v>0</v>
      </c>
      <c r="AG54" s="152">
        <f t="shared" si="10"/>
        <v>0</v>
      </c>
      <c r="AH54" s="135">
        <f t="shared" si="11"/>
        <v>0</v>
      </c>
      <c r="AI54" s="135">
        <f t="shared" si="12"/>
        <v>0</v>
      </c>
      <c r="AJ54" s="135">
        <f t="shared" si="13"/>
        <v>0</v>
      </c>
      <c r="AK54" s="183">
        <f t="shared" si="14"/>
        <v>0</v>
      </c>
      <c r="AL54" s="135">
        <f t="shared" si="15"/>
        <v>0</v>
      </c>
      <c r="AM54" s="151">
        <f t="shared" si="16"/>
        <v>0</v>
      </c>
      <c r="AN54" s="152">
        <f t="shared" si="17"/>
        <v>0</v>
      </c>
      <c r="AO54" s="135">
        <f t="shared" si="18"/>
        <v>0</v>
      </c>
      <c r="AP54" s="146">
        <f t="shared" si="49"/>
        <v>0</v>
      </c>
      <c r="AQ54" s="152">
        <f t="shared" si="50"/>
        <v>0</v>
      </c>
      <c r="AR54" s="151">
        <f t="shared" si="51"/>
        <v>0</v>
      </c>
      <c r="AS54" s="152">
        <f t="shared" si="19"/>
        <v>0</v>
      </c>
      <c r="AT54" s="135">
        <f t="shared" si="20"/>
        <v>0</v>
      </c>
      <c r="AU54" s="151">
        <f t="shared" si="21"/>
        <v>0</v>
      </c>
      <c r="AV54" s="152">
        <f t="shared" si="22"/>
        <v>0</v>
      </c>
      <c r="AW54" s="135">
        <f t="shared" si="52"/>
        <v>0</v>
      </c>
      <c r="AX54" s="134">
        <f t="shared" si="53"/>
        <v>0</v>
      </c>
      <c r="AY54" s="498" t="str">
        <f t="shared" si="54"/>
        <v/>
      </c>
      <c r="AZ54" s="152">
        <f t="shared" si="23"/>
        <v>0</v>
      </c>
      <c r="BA54" s="135">
        <f t="shared" si="24"/>
        <v>0</v>
      </c>
      <c r="BB54" s="151">
        <f t="shared" si="55"/>
        <v>0</v>
      </c>
      <c r="BC54" s="301" t="b">
        <f t="shared" si="25"/>
        <v>0</v>
      </c>
      <c r="BD54" s="109"/>
      <c r="BE54" s="313">
        <f t="shared" si="56"/>
        <v>0</v>
      </c>
      <c r="BF54" s="314">
        <f t="shared" si="26"/>
        <v>0</v>
      </c>
      <c r="BG54" s="314">
        <f t="shared" si="57"/>
        <v>0</v>
      </c>
      <c r="BH54" s="315">
        <f t="shared" si="27"/>
        <v>0</v>
      </c>
      <c r="BI54" s="308">
        <f t="shared" si="28"/>
        <v>0</v>
      </c>
      <c r="BJ54" s="308">
        <f t="shared" si="58"/>
        <v>0</v>
      </c>
      <c r="BK54" s="170">
        <f t="shared" si="29"/>
        <v>0</v>
      </c>
      <c r="BL54" s="324">
        <f t="shared" si="30"/>
        <v>0</v>
      </c>
      <c r="BM54" s="324">
        <f t="shared" si="31"/>
        <v>0</v>
      </c>
      <c r="BN54" s="324">
        <f t="shared" si="59"/>
        <v>0</v>
      </c>
      <c r="BO54" s="325">
        <f t="shared" si="60"/>
        <v>0</v>
      </c>
      <c r="BP54" s="326">
        <f t="shared" si="32"/>
        <v>0</v>
      </c>
      <c r="BQ54" s="324">
        <f t="shared" si="33"/>
        <v>0</v>
      </c>
      <c r="BR54" s="324">
        <f t="shared" si="61"/>
        <v>0</v>
      </c>
      <c r="BS54" s="325">
        <f t="shared" si="62"/>
        <v>0</v>
      </c>
      <c r="BT54" s="10"/>
      <c r="BU54" s="288">
        <f t="shared" si="34"/>
        <v>0</v>
      </c>
      <c r="BV54" s="289">
        <f t="shared" si="63"/>
        <v>0</v>
      </c>
      <c r="BW54" s="134">
        <f t="shared" si="35"/>
        <v>0</v>
      </c>
      <c r="BX54" s="294">
        <f t="shared" si="36"/>
        <v>0</v>
      </c>
      <c r="BY54" s="295">
        <f t="shared" si="37"/>
        <v>0</v>
      </c>
      <c r="BZ54" s="10"/>
      <c r="CA54" s="190">
        <f t="shared" si="38"/>
        <v>0</v>
      </c>
      <c r="CB54" s="191">
        <f t="shared" si="39"/>
        <v>0</v>
      </c>
      <c r="CC54" s="99">
        <f t="shared" si="64"/>
        <v>0</v>
      </c>
      <c r="CD54" s="299" t="str">
        <f t="shared" si="40"/>
        <v/>
      </c>
      <c r="CE54" s="305"/>
      <c r="CF54" s="10"/>
      <c r="CG54" s="10"/>
      <c r="CH54" s="10"/>
      <c r="CI54" s="10"/>
      <c r="CJ54" s="10"/>
      <c r="CK54" s="10"/>
      <c r="CL54" s="10"/>
      <c r="CM54" s="10"/>
      <c r="CN54" s="10"/>
      <c r="CO54" s="10"/>
      <c r="CP54" s="10"/>
      <c r="CQ54" s="10"/>
      <c r="CR54" s="10"/>
      <c r="CS54" s="10"/>
      <c r="CT54" s="10"/>
      <c r="CU54" s="10"/>
    </row>
    <row r="55" spans="1:99" ht="13.5" hidden="1" thickBot="1" x14ac:dyDescent="0.25">
      <c r="A55" s="11"/>
      <c r="B55" s="522" t="str">
        <f t="shared" si="41"/>
        <v>-</v>
      </c>
      <c r="C55" s="566">
        <v>23</v>
      </c>
      <c r="D55" s="616"/>
      <c r="E55" s="617"/>
      <c r="F55" s="515"/>
      <c r="G55" s="516"/>
      <c r="H55" s="581"/>
      <c r="I55" s="581"/>
      <c r="J55" s="569"/>
      <c r="K55" s="586"/>
      <c r="L55" s="587"/>
      <c r="M55" s="588"/>
      <c r="N55" s="589"/>
      <c r="O55" s="452" t="str">
        <f t="shared" si="42"/>
        <v/>
      </c>
      <c r="P55" s="453" t="str">
        <f t="shared" si="7"/>
        <v/>
      </c>
      <c r="Q55" s="499">
        <f t="shared" si="43"/>
        <v>0</v>
      </c>
      <c r="R55" s="500">
        <f t="shared" si="44"/>
        <v>0</v>
      </c>
      <c r="S55" s="454">
        <f t="shared" si="45"/>
        <v>0</v>
      </c>
      <c r="T55" s="524" t="str">
        <f t="shared" si="8"/>
        <v/>
      </c>
      <c r="U55" s="11"/>
      <c r="V55" s="12"/>
      <c r="W55" s="10"/>
      <c r="X55" s="10"/>
      <c r="Y55" s="10">
        <v>23</v>
      </c>
      <c r="Z55" s="71" t="str">
        <f t="shared" si="9"/>
        <v>-</v>
      </c>
      <c r="AA55" s="71">
        <f t="shared" si="46"/>
        <v>0</v>
      </c>
      <c r="AB55" s="10"/>
      <c r="AC55" s="134">
        <f t="shared" si="47"/>
        <v>0</v>
      </c>
      <c r="AD55" s="135">
        <f>IF(SUM(AC55:AC$112)=0,0,COUNTA(F55:G55)&gt;0)</f>
        <v>0</v>
      </c>
      <c r="AE55" s="134">
        <f t="shared" si="48"/>
        <v>0</v>
      </c>
      <c r="AF55" s="475">
        <f>IF(SUM(AC55:AC$112)=0,0,AND(AD55=FALSE,AE55=0,SUM(AE56:AE$112)&gt;0))</f>
        <v>0</v>
      </c>
      <c r="AG55" s="152">
        <f t="shared" si="10"/>
        <v>0</v>
      </c>
      <c r="AH55" s="135">
        <f t="shared" si="11"/>
        <v>0</v>
      </c>
      <c r="AI55" s="135">
        <f t="shared" si="12"/>
        <v>0</v>
      </c>
      <c r="AJ55" s="135">
        <f t="shared" si="13"/>
        <v>0</v>
      </c>
      <c r="AK55" s="183">
        <f t="shared" si="14"/>
        <v>0</v>
      </c>
      <c r="AL55" s="135">
        <f t="shared" si="15"/>
        <v>0</v>
      </c>
      <c r="AM55" s="151">
        <f t="shared" si="16"/>
        <v>0</v>
      </c>
      <c r="AN55" s="152">
        <f t="shared" si="17"/>
        <v>0</v>
      </c>
      <c r="AO55" s="135">
        <f t="shared" si="18"/>
        <v>0</v>
      </c>
      <c r="AP55" s="146">
        <f t="shared" si="49"/>
        <v>0</v>
      </c>
      <c r="AQ55" s="152">
        <f t="shared" si="50"/>
        <v>0</v>
      </c>
      <c r="AR55" s="151">
        <f t="shared" si="51"/>
        <v>0</v>
      </c>
      <c r="AS55" s="152">
        <f t="shared" si="19"/>
        <v>0</v>
      </c>
      <c r="AT55" s="135">
        <f t="shared" si="20"/>
        <v>0</v>
      </c>
      <c r="AU55" s="151">
        <f t="shared" si="21"/>
        <v>0</v>
      </c>
      <c r="AV55" s="152">
        <f t="shared" si="22"/>
        <v>0</v>
      </c>
      <c r="AW55" s="135">
        <f t="shared" si="52"/>
        <v>0</v>
      </c>
      <c r="AX55" s="134">
        <f t="shared" si="53"/>
        <v>0</v>
      </c>
      <c r="AY55" s="498" t="str">
        <f t="shared" si="54"/>
        <v/>
      </c>
      <c r="AZ55" s="152">
        <f t="shared" si="23"/>
        <v>0</v>
      </c>
      <c r="BA55" s="135">
        <f t="shared" si="24"/>
        <v>0</v>
      </c>
      <c r="BB55" s="151">
        <f t="shared" si="55"/>
        <v>0</v>
      </c>
      <c r="BC55" s="301" t="b">
        <f t="shared" si="25"/>
        <v>0</v>
      </c>
      <c r="BD55" s="109"/>
      <c r="BE55" s="313">
        <f t="shared" si="56"/>
        <v>0</v>
      </c>
      <c r="BF55" s="314">
        <f t="shared" si="26"/>
        <v>0</v>
      </c>
      <c r="BG55" s="314">
        <f t="shared" si="57"/>
        <v>0</v>
      </c>
      <c r="BH55" s="315">
        <f t="shared" si="27"/>
        <v>0</v>
      </c>
      <c r="BI55" s="308">
        <f t="shared" si="28"/>
        <v>0</v>
      </c>
      <c r="BJ55" s="308">
        <f t="shared" si="58"/>
        <v>0</v>
      </c>
      <c r="BK55" s="170">
        <f t="shared" si="29"/>
        <v>0</v>
      </c>
      <c r="BL55" s="324">
        <f t="shared" si="30"/>
        <v>0</v>
      </c>
      <c r="BM55" s="324">
        <f t="shared" si="31"/>
        <v>0</v>
      </c>
      <c r="BN55" s="324">
        <f t="shared" si="59"/>
        <v>0</v>
      </c>
      <c r="BO55" s="325">
        <f t="shared" si="60"/>
        <v>0</v>
      </c>
      <c r="BP55" s="326">
        <f t="shared" si="32"/>
        <v>0</v>
      </c>
      <c r="BQ55" s="324">
        <f t="shared" si="33"/>
        <v>0</v>
      </c>
      <c r="BR55" s="324">
        <f t="shared" si="61"/>
        <v>0</v>
      </c>
      <c r="BS55" s="325">
        <f t="shared" si="62"/>
        <v>0</v>
      </c>
      <c r="BT55" s="10"/>
      <c r="BU55" s="288">
        <f t="shared" si="34"/>
        <v>0</v>
      </c>
      <c r="BV55" s="289">
        <f t="shared" si="63"/>
        <v>0</v>
      </c>
      <c r="BW55" s="134">
        <f t="shared" si="35"/>
        <v>0</v>
      </c>
      <c r="BX55" s="294">
        <f t="shared" si="36"/>
        <v>0</v>
      </c>
      <c r="BY55" s="295">
        <f t="shared" si="37"/>
        <v>0</v>
      </c>
      <c r="BZ55" s="10"/>
      <c r="CA55" s="190">
        <f t="shared" si="38"/>
        <v>0</v>
      </c>
      <c r="CB55" s="191">
        <f t="shared" si="39"/>
        <v>0</v>
      </c>
      <c r="CC55" s="99">
        <f t="shared" si="64"/>
        <v>0</v>
      </c>
      <c r="CD55" s="299" t="str">
        <f t="shared" si="40"/>
        <v/>
      </c>
      <c r="CE55" s="305"/>
      <c r="CF55" s="10"/>
      <c r="CG55" s="10"/>
      <c r="CH55" s="10"/>
      <c r="CI55" s="10"/>
      <c r="CJ55" s="10"/>
      <c r="CK55" s="10"/>
      <c r="CL55" s="10"/>
      <c r="CM55" s="10"/>
      <c r="CN55" s="10"/>
      <c r="CO55" s="10"/>
      <c r="CP55" s="10"/>
      <c r="CQ55" s="10"/>
      <c r="CR55" s="10"/>
      <c r="CS55" s="10"/>
      <c r="CT55" s="10"/>
      <c r="CU55" s="10"/>
    </row>
    <row r="56" spans="1:99" ht="13.5" hidden="1" thickBot="1" x14ac:dyDescent="0.25">
      <c r="A56" s="11"/>
      <c r="B56" s="522" t="str">
        <f t="shared" si="41"/>
        <v>-</v>
      </c>
      <c r="C56" s="566">
        <v>24</v>
      </c>
      <c r="D56" s="616"/>
      <c r="E56" s="617"/>
      <c r="F56" s="515"/>
      <c r="G56" s="516"/>
      <c r="H56" s="581"/>
      <c r="I56" s="581"/>
      <c r="J56" s="569"/>
      <c r="K56" s="586"/>
      <c r="L56" s="587"/>
      <c r="M56" s="588"/>
      <c r="N56" s="589"/>
      <c r="O56" s="452" t="str">
        <f t="shared" si="42"/>
        <v/>
      </c>
      <c r="P56" s="453" t="str">
        <f t="shared" si="7"/>
        <v/>
      </c>
      <c r="Q56" s="499">
        <f t="shared" si="43"/>
        <v>0</v>
      </c>
      <c r="R56" s="500">
        <f t="shared" si="44"/>
        <v>0</v>
      </c>
      <c r="S56" s="454">
        <f t="shared" si="45"/>
        <v>0</v>
      </c>
      <c r="T56" s="524" t="str">
        <f t="shared" si="8"/>
        <v/>
      </c>
      <c r="U56" s="11"/>
      <c r="V56" s="12"/>
      <c r="W56" s="10"/>
      <c r="X56" s="10"/>
      <c r="Y56" s="10">
        <v>24</v>
      </c>
      <c r="Z56" s="71" t="str">
        <f t="shared" si="9"/>
        <v>-</v>
      </c>
      <c r="AA56" s="71">
        <f t="shared" si="46"/>
        <v>0</v>
      </c>
      <c r="AB56" s="10"/>
      <c r="AC56" s="134">
        <f t="shared" si="47"/>
        <v>0</v>
      </c>
      <c r="AD56" s="135">
        <f>IF(SUM(AC56:AC$112)=0,0,COUNTA(F56:G56)&gt;0)</f>
        <v>0</v>
      </c>
      <c r="AE56" s="134">
        <f t="shared" si="48"/>
        <v>0</v>
      </c>
      <c r="AF56" s="475">
        <f>IF(SUM(AC56:AC$112)=0,0,AND(AD56=FALSE,AE56=0,SUM(AE57:AE$112)&gt;0))</f>
        <v>0</v>
      </c>
      <c r="AG56" s="152">
        <f t="shared" si="10"/>
        <v>0</v>
      </c>
      <c r="AH56" s="135">
        <f t="shared" si="11"/>
        <v>0</v>
      </c>
      <c r="AI56" s="135">
        <f t="shared" si="12"/>
        <v>0</v>
      </c>
      <c r="AJ56" s="135">
        <f t="shared" si="13"/>
        <v>0</v>
      </c>
      <c r="AK56" s="183">
        <f t="shared" si="14"/>
        <v>0</v>
      </c>
      <c r="AL56" s="135">
        <f t="shared" si="15"/>
        <v>0</v>
      </c>
      <c r="AM56" s="151">
        <f t="shared" si="16"/>
        <v>0</v>
      </c>
      <c r="AN56" s="152">
        <f t="shared" si="17"/>
        <v>0</v>
      </c>
      <c r="AO56" s="135">
        <f t="shared" si="18"/>
        <v>0</v>
      </c>
      <c r="AP56" s="146">
        <f t="shared" si="49"/>
        <v>0</v>
      </c>
      <c r="AQ56" s="152">
        <f t="shared" si="50"/>
        <v>0</v>
      </c>
      <c r="AR56" s="151">
        <f t="shared" si="51"/>
        <v>0</v>
      </c>
      <c r="AS56" s="152">
        <f t="shared" si="19"/>
        <v>0</v>
      </c>
      <c r="AT56" s="135">
        <f t="shared" si="20"/>
        <v>0</v>
      </c>
      <c r="AU56" s="151">
        <f t="shared" si="21"/>
        <v>0</v>
      </c>
      <c r="AV56" s="152">
        <f t="shared" si="22"/>
        <v>0</v>
      </c>
      <c r="AW56" s="135">
        <f t="shared" si="52"/>
        <v>0</v>
      </c>
      <c r="AX56" s="134">
        <f t="shared" si="53"/>
        <v>0</v>
      </c>
      <c r="AY56" s="498" t="str">
        <f t="shared" si="54"/>
        <v/>
      </c>
      <c r="AZ56" s="152">
        <f t="shared" si="23"/>
        <v>0</v>
      </c>
      <c r="BA56" s="135">
        <f t="shared" si="24"/>
        <v>0</v>
      </c>
      <c r="BB56" s="151">
        <f t="shared" si="55"/>
        <v>0</v>
      </c>
      <c r="BC56" s="301" t="b">
        <f t="shared" si="25"/>
        <v>0</v>
      </c>
      <c r="BD56" s="109"/>
      <c r="BE56" s="313">
        <f t="shared" si="56"/>
        <v>0</v>
      </c>
      <c r="BF56" s="314">
        <f t="shared" si="26"/>
        <v>0</v>
      </c>
      <c r="BG56" s="314">
        <f t="shared" si="57"/>
        <v>0</v>
      </c>
      <c r="BH56" s="315">
        <f t="shared" si="27"/>
        <v>0</v>
      </c>
      <c r="BI56" s="308">
        <f t="shared" si="28"/>
        <v>0</v>
      </c>
      <c r="BJ56" s="308">
        <f t="shared" si="58"/>
        <v>0</v>
      </c>
      <c r="BK56" s="170">
        <f t="shared" si="29"/>
        <v>0</v>
      </c>
      <c r="BL56" s="324">
        <f t="shared" si="30"/>
        <v>0</v>
      </c>
      <c r="BM56" s="324">
        <f t="shared" si="31"/>
        <v>0</v>
      </c>
      <c r="BN56" s="324">
        <f t="shared" si="59"/>
        <v>0</v>
      </c>
      <c r="BO56" s="325">
        <f t="shared" si="60"/>
        <v>0</v>
      </c>
      <c r="BP56" s="326">
        <f t="shared" si="32"/>
        <v>0</v>
      </c>
      <c r="BQ56" s="324">
        <f t="shared" si="33"/>
        <v>0</v>
      </c>
      <c r="BR56" s="324">
        <f t="shared" si="61"/>
        <v>0</v>
      </c>
      <c r="BS56" s="325">
        <f t="shared" si="62"/>
        <v>0</v>
      </c>
      <c r="BT56" s="10"/>
      <c r="BU56" s="288">
        <f t="shared" si="34"/>
        <v>0</v>
      </c>
      <c r="BV56" s="289">
        <f t="shared" si="63"/>
        <v>0</v>
      </c>
      <c r="BW56" s="134">
        <f t="shared" si="35"/>
        <v>0</v>
      </c>
      <c r="BX56" s="294">
        <f t="shared" si="36"/>
        <v>0</v>
      </c>
      <c r="BY56" s="295">
        <f t="shared" si="37"/>
        <v>0</v>
      </c>
      <c r="BZ56" s="10"/>
      <c r="CA56" s="190">
        <f t="shared" si="38"/>
        <v>0</v>
      </c>
      <c r="CB56" s="191">
        <f t="shared" si="39"/>
        <v>0</v>
      </c>
      <c r="CC56" s="99">
        <f t="shared" si="64"/>
        <v>0</v>
      </c>
      <c r="CD56" s="299" t="str">
        <f t="shared" si="40"/>
        <v/>
      </c>
      <c r="CE56" s="305"/>
      <c r="CF56" s="10"/>
      <c r="CG56" s="10"/>
      <c r="CH56" s="10"/>
      <c r="CI56" s="10"/>
      <c r="CJ56" s="10"/>
      <c r="CK56" s="10"/>
      <c r="CL56" s="10"/>
      <c r="CM56" s="10"/>
      <c r="CN56" s="10"/>
      <c r="CO56" s="10"/>
      <c r="CP56" s="10"/>
      <c r="CQ56" s="10"/>
      <c r="CR56" s="10"/>
      <c r="CS56" s="10"/>
      <c r="CT56" s="10"/>
      <c r="CU56" s="10"/>
    </row>
    <row r="57" spans="1:99" ht="13.5" hidden="1" thickBot="1" x14ac:dyDescent="0.25">
      <c r="A57" s="11"/>
      <c r="B57" s="522" t="str">
        <f t="shared" si="41"/>
        <v>-</v>
      </c>
      <c r="C57" s="566">
        <v>25</v>
      </c>
      <c r="D57" s="616"/>
      <c r="E57" s="617"/>
      <c r="F57" s="515"/>
      <c r="G57" s="516"/>
      <c r="H57" s="581"/>
      <c r="I57" s="581"/>
      <c r="J57" s="569"/>
      <c r="K57" s="586"/>
      <c r="L57" s="587"/>
      <c r="M57" s="588"/>
      <c r="N57" s="589"/>
      <c r="O57" s="452" t="str">
        <f t="shared" si="42"/>
        <v/>
      </c>
      <c r="P57" s="453" t="str">
        <f t="shared" si="7"/>
        <v/>
      </c>
      <c r="Q57" s="499">
        <f t="shared" si="43"/>
        <v>0</v>
      </c>
      <c r="R57" s="500">
        <f t="shared" si="44"/>
        <v>0</v>
      </c>
      <c r="S57" s="454">
        <f t="shared" si="45"/>
        <v>0</v>
      </c>
      <c r="T57" s="524" t="str">
        <f t="shared" si="8"/>
        <v/>
      </c>
      <c r="U57" s="11"/>
      <c r="V57" s="12"/>
      <c r="W57" s="10"/>
      <c r="X57" s="10"/>
      <c r="Y57" s="10">
        <v>25</v>
      </c>
      <c r="Z57" s="71" t="str">
        <f t="shared" si="9"/>
        <v>-</v>
      </c>
      <c r="AA57" s="71">
        <f t="shared" si="46"/>
        <v>0</v>
      </c>
      <c r="AB57" s="10"/>
      <c r="AC57" s="134">
        <f t="shared" si="47"/>
        <v>0</v>
      </c>
      <c r="AD57" s="135">
        <f>IF(SUM(AC57:AC$112)=0,0,COUNTA(F57:G57)&gt;0)</f>
        <v>0</v>
      </c>
      <c r="AE57" s="134">
        <f t="shared" si="48"/>
        <v>0</v>
      </c>
      <c r="AF57" s="475">
        <f>IF(SUM(AC57:AC$112)=0,0,AND(AD57=FALSE,AE57=0,SUM(AE58:AE$112)&gt;0))</f>
        <v>0</v>
      </c>
      <c r="AG57" s="152">
        <f t="shared" si="10"/>
        <v>0</v>
      </c>
      <c r="AH57" s="135">
        <f t="shared" si="11"/>
        <v>0</v>
      </c>
      <c r="AI57" s="135">
        <f t="shared" si="12"/>
        <v>0</v>
      </c>
      <c r="AJ57" s="135">
        <f t="shared" si="13"/>
        <v>0</v>
      </c>
      <c r="AK57" s="183">
        <f t="shared" si="14"/>
        <v>0</v>
      </c>
      <c r="AL57" s="135">
        <f t="shared" si="15"/>
        <v>0</v>
      </c>
      <c r="AM57" s="151">
        <f t="shared" si="16"/>
        <v>0</v>
      </c>
      <c r="AN57" s="152">
        <f t="shared" si="17"/>
        <v>0</v>
      </c>
      <c r="AO57" s="135">
        <f t="shared" si="18"/>
        <v>0</v>
      </c>
      <c r="AP57" s="146">
        <f t="shared" si="49"/>
        <v>0</v>
      </c>
      <c r="AQ57" s="152">
        <f t="shared" si="50"/>
        <v>0</v>
      </c>
      <c r="AR57" s="151">
        <f t="shared" si="51"/>
        <v>0</v>
      </c>
      <c r="AS57" s="152">
        <f t="shared" si="19"/>
        <v>0</v>
      </c>
      <c r="AT57" s="135">
        <f t="shared" si="20"/>
        <v>0</v>
      </c>
      <c r="AU57" s="151">
        <f t="shared" si="21"/>
        <v>0</v>
      </c>
      <c r="AV57" s="152">
        <f t="shared" si="22"/>
        <v>0</v>
      </c>
      <c r="AW57" s="135">
        <f t="shared" si="52"/>
        <v>0</v>
      </c>
      <c r="AX57" s="134">
        <f t="shared" si="53"/>
        <v>0</v>
      </c>
      <c r="AY57" s="498" t="str">
        <f t="shared" si="54"/>
        <v/>
      </c>
      <c r="AZ57" s="152">
        <f t="shared" si="23"/>
        <v>0</v>
      </c>
      <c r="BA57" s="135">
        <f t="shared" si="24"/>
        <v>0</v>
      </c>
      <c r="BB57" s="151">
        <f t="shared" si="55"/>
        <v>0</v>
      </c>
      <c r="BC57" s="301" t="b">
        <f t="shared" si="25"/>
        <v>0</v>
      </c>
      <c r="BD57" s="109"/>
      <c r="BE57" s="313">
        <f t="shared" si="56"/>
        <v>0</v>
      </c>
      <c r="BF57" s="314">
        <f t="shared" si="26"/>
        <v>0</v>
      </c>
      <c r="BG57" s="314">
        <f t="shared" si="57"/>
        <v>0</v>
      </c>
      <c r="BH57" s="315">
        <f t="shared" si="27"/>
        <v>0</v>
      </c>
      <c r="BI57" s="308">
        <f t="shared" si="28"/>
        <v>0</v>
      </c>
      <c r="BJ57" s="308">
        <f t="shared" si="58"/>
        <v>0</v>
      </c>
      <c r="BK57" s="170">
        <f t="shared" si="29"/>
        <v>0</v>
      </c>
      <c r="BL57" s="324">
        <f t="shared" si="30"/>
        <v>0</v>
      </c>
      <c r="BM57" s="324">
        <f t="shared" si="31"/>
        <v>0</v>
      </c>
      <c r="BN57" s="324">
        <f t="shared" si="59"/>
        <v>0</v>
      </c>
      <c r="BO57" s="325">
        <f t="shared" si="60"/>
        <v>0</v>
      </c>
      <c r="BP57" s="326">
        <f t="shared" si="32"/>
        <v>0</v>
      </c>
      <c r="BQ57" s="324">
        <f t="shared" si="33"/>
        <v>0</v>
      </c>
      <c r="BR57" s="324">
        <f t="shared" si="61"/>
        <v>0</v>
      </c>
      <c r="BS57" s="325">
        <f t="shared" si="62"/>
        <v>0</v>
      </c>
      <c r="BT57" s="10"/>
      <c r="BU57" s="288">
        <f t="shared" si="34"/>
        <v>0</v>
      </c>
      <c r="BV57" s="289">
        <f t="shared" si="63"/>
        <v>0</v>
      </c>
      <c r="BW57" s="134">
        <f t="shared" si="35"/>
        <v>0</v>
      </c>
      <c r="BX57" s="294">
        <f t="shared" si="36"/>
        <v>0</v>
      </c>
      <c r="BY57" s="295">
        <f t="shared" si="37"/>
        <v>0</v>
      </c>
      <c r="BZ57" s="10"/>
      <c r="CA57" s="190">
        <f t="shared" si="38"/>
        <v>0</v>
      </c>
      <c r="CB57" s="191">
        <f t="shared" si="39"/>
        <v>0</v>
      </c>
      <c r="CC57" s="99">
        <f t="shared" si="64"/>
        <v>0</v>
      </c>
      <c r="CD57" s="299" t="str">
        <f t="shared" si="40"/>
        <v/>
      </c>
      <c r="CE57" s="305"/>
      <c r="CF57" s="10"/>
      <c r="CG57" s="10"/>
      <c r="CH57" s="10"/>
      <c r="CI57" s="10"/>
      <c r="CJ57" s="10"/>
      <c r="CK57" s="10"/>
      <c r="CL57" s="10"/>
      <c r="CM57" s="10"/>
      <c r="CN57" s="10"/>
      <c r="CO57" s="10"/>
      <c r="CP57" s="10"/>
      <c r="CQ57" s="10"/>
      <c r="CR57" s="10"/>
      <c r="CS57" s="10"/>
      <c r="CT57" s="10"/>
      <c r="CU57" s="10"/>
    </row>
    <row r="58" spans="1:99" ht="13.5" hidden="1" thickBot="1" x14ac:dyDescent="0.25">
      <c r="A58" s="11"/>
      <c r="B58" s="522" t="str">
        <f t="shared" si="41"/>
        <v>-</v>
      </c>
      <c r="C58" s="566">
        <v>26</v>
      </c>
      <c r="D58" s="616"/>
      <c r="E58" s="617"/>
      <c r="F58" s="515"/>
      <c r="G58" s="516"/>
      <c r="H58" s="581"/>
      <c r="I58" s="581"/>
      <c r="J58" s="569"/>
      <c r="K58" s="586"/>
      <c r="L58" s="587"/>
      <c r="M58" s="588"/>
      <c r="N58" s="589"/>
      <c r="O58" s="452" t="str">
        <f t="shared" si="42"/>
        <v/>
      </c>
      <c r="P58" s="453" t="str">
        <f t="shared" si="7"/>
        <v/>
      </c>
      <c r="Q58" s="499">
        <f t="shared" si="43"/>
        <v>0</v>
      </c>
      <c r="R58" s="500">
        <f t="shared" si="44"/>
        <v>0</v>
      </c>
      <c r="S58" s="454">
        <f t="shared" si="45"/>
        <v>0</v>
      </c>
      <c r="T58" s="524" t="str">
        <f t="shared" si="8"/>
        <v/>
      </c>
      <c r="U58" s="11"/>
      <c r="V58" s="12"/>
      <c r="W58" s="10"/>
      <c r="X58" s="10"/>
      <c r="Y58" s="10">
        <v>26</v>
      </c>
      <c r="Z58" s="71" t="str">
        <f t="shared" si="9"/>
        <v>-</v>
      </c>
      <c r="AA58" s="71">
        <f t="shared" si="46"/>
        <v>0</v>
      </c>
      <c r="AB58" s="10"/>
      <c r="AC58" s="134">
        <f t="shared" si="47"/>
        <v>0</v>
      </c>
      <c r="AD58" s="135">
        <f>IF(SUM(AC58:AC$112)=0,0,COUNTA(F58:G58)&gt;0)</f>
        <v>0</v>
      </c>
      <c r="AE58" s="134">
        <f t="shared" si="48"/>
        <v>0</v>
      </c>
      <c r="AF58" s="475">
        <f>IF(SUM(AC58:AC$112)=0,0,AND(AD58=FALSE,AE58=0,SUM(AE59:AE$112)&gt;0))</f>
        <v>0</v>
      </c>
      <c r="AG58" s="152">
        <f t="shared" si="10"/>
        <v>0</v>
      </c>
      <c r="AH58" s="135">
        <f t="shared" si="11"/>
        <v>0</v>
      </c>
      <c r="AI58" s="135">
        <f t="shared" si="12"/>
        <v>0</v>
      </c>
      <c r="AJ58" s="135">
        <f t="shared" si="13"/>
        <v>0</v>
      </c>
      <c r="AK58" s="183">
        <f t="shared" si="14"/>
        <v>0</v>
      </c>
      <c r="AL58" s="135">
        <f t="shared" si="15"/>
        <v>0</v>
      </c>
      <c r="AM58" s="151">
        <f t="shared" si="16"/>
        <v>0</v>
      </c>
      <c r="AN58" s="152">
        <f t="shared" si="17"/>
        <v>0</v>
      </c>
      <c r="AO58" s="135">
        <f t="shared" si="18"/>
        <v>0</v>
      </c>
      <c r="AP58" s="146">
        <f t="shared" si="49"/>
        <v>0</v>
      </c>
      <c r="AQ58" s="152">
        <f t="shared" si="50"/>
        <v>0</v>
      </c>
      <c r="AR58" s="151">
        <f t="shared" si="51"/>
        <v>0</v>
      </c>
      <c r="AS58" s="152">
        <f t="shared" si="19"/>
        <v>0</v>
      </c>
      <c r="AT58" s="135">
        <f t="shared" si="20"/>
        <v>0</v>
      </c>
      <c r="AU58" s="151">
        <f t="shared" si="21"/>
        <v>0</v>
      </c>
      <c r="AV58" s="152">
        <f t="shared" si="22"/>
        <v>0</v>
      </c>
      <c r="AW58" s="135">
        <f t="shared" si="52"/>
        <v>0</v>
      </c>
      <c r="AX58" s="134">
        <f t="shared" si="53"/>
        <v>0</v>
      </c>
      <c r="AY58" s="498" t="str">
        <f t="shared" si="54"/>
        <v/>
      </c>
      <c r="AZ58" s="152">
        <f t="shared" si="23"/>
        <v>0</v>
      </c>
      <c r="BA58" s="135">
        <f t="shared" si="24"/>
        <v>0</v>
      </c>
      <c r="BB58" s="151">
        <f t="shared" si="55"/>
        <v>0</v>
      </c>
      <c r="BC58" s="301" t="b">
        <f t="shared" si="25"/>
        <v>0</v>
      </c>
      <c r="BD58" s="109"/>
      <c r="BE58" s="313">
        <f t="shared" si="56"/>
        <v>0</v>
      </c>
      <c r="BF58" s="314">
        <f t="shared" si="26"/>
        <v>0</v>
      </c>
      <c r="BG58" s="314">
        <f t="shared" si="57"/>
        <v>0</v>
      </c>
      <c r="BH58" s="315">
        <f t="shared" si="27"/>
        <v>0</v>
      </c>
      <c r="BI58" s="308">
        <f t="shared" si="28"/>
        <v>0</v>
      </c>
      <c r="BJ58" s="308">
        <f t="shared" si="58"/>
        <v>0</v>
      </c>
      <c r="BK58" s="170">
        <f t="shared" si="29"/>
        <v>0</v>
      </c>
      <c r="BL58" s="324">
        <f t="shared" si="30"/>
        <v>0</v>
      </c>
      <c r="BM58" s="324">
        <f t="shared" si="31"/>
        <v>0</v>
      </c>
      <c r="BN58" s="324">
        <f t="shared" si="59"/>
        <v>0</v>
      </c>
      <c r="BO58" s="325">
        <f t="shared" si="60"/>
        <v>0</v>
      </c>
      <c r="BP58" s="326">
        <f t="shared" si="32"/>
        <v>0</v>
      </c>
      <c r="BQ58" s="324">
        <f t="shared" si="33"/>
        <v>0</v>
      </c>
      <c r="BR58" s="324">
        <f t="shared" si="61"/>
        <v>0</v>
      </c>
      <c r="BS58" s="325">
        <f t="shared" si="62"/>
        <v>0</v>
      </c>
      <c r="BT58" s="10"/>
      <c r="BU58" s="288">
        <f t="shared" si="34"/>
        <v>0</v>
      </c>
      <c r="BV58" s="289">
        <f t="shared" si="63"/>
        <v>0</v>
      </c>
      <c r="BW58" s="134">
        <f t="shared" si="35"/>
        <v>0</v>
      </c>
      <c r="BX58" s="294">
        <f t="shared" si="36"/>
        <v>0</v>
      </c>
      <c r="BY58" s="295">
        <f t="shared" si="37"/>
        <v>0</v>
      </c>
      <c r="BZ58" s="10"/>
      <c r="CA58" s="190">
        <f t="shared" si="38"/>
        <v>0</v>
      </c>
      <c r="CB58" s="191">
        <f t="shared" si="39"/>
        <v>0</v>
      </c>
      <c r="CC58" s="99">
        <f t="shared" si="64"/>
        <v>0</v>
      </c>
      <c r="CD58" s="299" t="str">
        <f t="shared" si="40"/>
        <v/>
      </c>
      <c r="CE58" s="305"/>
      <c r="CF58" s="10"/>
      <c r="CG58" s="10"/>
      <c r="CH58" s="10"/>
      <c r="CI58" s="10"/>
      <c r="CJ58" s="10"/>
      <c r="CK58" s="10"/>
      <c r="CL58" s="10"/>
      <c r="CM58" s="10"/>
      <c r="CN58" s="10"/>
      <c r="CO58" s="10"/>
      <c r="CP58" s="10"/>
      <c r="CQ58" s="10"/>
      <c r="CR58" s="10"/>
      <c r="CS58" s="10"/>
      <c r="CT58" s="10"/>
      <c r="CU58" s="10"/>
    </row>
    <row r="59" spans="1:99" ht="13.5" hidden="1" thickBot="1" x14ac:dyDescent="0.25">
      <c r="A59" s="11"/>
      <c r="B59" s="522" t="str">
        <f t="shared" si="41"/>
        <v>-</v>
      </c>
      <c r="C59" s="566">
        <v>27</v>
      </c>
      <c r="D59" s="616"/>
      <c r="E59" s="617"/>
      <c r="F59" s="515"/>
      <c r="G59" s="516"/>
      <c r="H59" s="581"/>
      <c r="I59" s="581"/>
      <c r="J59" s="569"/>
      <c r="K59" s="586"/>
      <c r="L59" s="587"/>
      <c r="M59" s="588"/>
      <c r="N59" s="589"/>
      <c r="O59" s="452" t="str">
        <f t="shared" si="42"/>
        <v/>
      </c>
      <c r="P59" s="453" t="str">
        <f t="shared" si="7"/>
        <v/>
      </c>
      <c r="Q59" s="499">
        <f t="shared" si="43"/>
        <v>0</v>
      </c>
      <c r="R59" s="500">
        <f t="shared" si="44"/>
        <v>0</v>
      </c>
      <c r="S59" s="454">
        <f t="shared" si="45"/>
        <v>0</v>
      </c>
      <c r="T59" s="524" t="str">
        <f t="shared" si="8"/>
        <v/>
      </c>
      <c r="U59" s="11"/>
      <c r="V59" s="12"/>
      <c r="W59" s="10"/>
      <c r="X59" s="10"/>
      <c r="Y59" s="10">
        <v>27</v>
      </c>
      <c r="Z59" s="71" t="str">
        <f t="shared" si="9"/>
        <v>-</v>
      </c>
      <c r="AA59" s="71">
        <f t="shared" si="46"/>
        <v>0</v>
      </c>
      <c r="AB59" s="10"/>
      <c r="AC59" s="134">
        <f t="shared" si="47"/>
        <v>0</v>
      </c>
      <c r="AD59" s="135">
        <f>IF(SUM(AC59:AC$112)=0,0,COUNTA(F59:G59)&gt;0)</f>
        <v>0</v>
      </c>
      <c r="AE59" s="134">
        <f t="shared" si="48"/>
        <v>0</v>
      </c>
      <c r="AF59" s="475">
        <f>IF(SUM(AC59:AC$112)=0,0,AND(AD59=FALSE,AE59=0,SUM(AE60:AE$112)&gt;0))</f>
        <v>0</v>
      </c>
      <c r="AG59" s="152">
        <f t="shared" si="10"/>
        <v>0</v>
      </c>
      <c r="AH59" s="135">
        <f t="shared" si="11"/>
        <v>0</v>
      </c>
      <c r="AI59" s="135">
        <f t="shared" si="12"/>
        <v>0</v>
      </c>
      <c r="AJ59" s="135">
        <f t="shared" si="13"/>
        <v>0</v>
      </c>
      <c r="AK59" s="183">
        <f t="shared" si="14"/>
        <v>0</v>
      </c>
      <c r="AL59" s="135">
        <f t="shared" si="15"/>
        <v>0</v>
      </c>
      <c r="AM59" s="151">
        <f t="shared" si="16"/>
        <v>0</v>
      </c>
      <c r="AN59" s="152">
        <f t="shared" si="17"/>
        <v>0</v>
      </c>
      <c r="AO59" s="135">
        <f t="shared" si="18"/>
        <v>0</v>
      </c>
      <c r="AP59" s="146">
        <f t="shared" si="49"/>
        <v>0</v>
      </c>
      <c r="AQ59" s="152">
        <f t="shared" si="50"/>
        <v>0</v>
      </c>
      <c r="AR59" s="151">
        <f t="shared" si="51"/>
        <v>0</v>
      </c>
      <c r="AS59" s="152">
        <f t="shared" si="19"/>
        <v>0</v>
      </c>
      <c r="AT59" s="135">
        <f t="shared" si="20"/>
        <v>0</v>
      </c>
      <c r="AU59" s="151">
        <f t="shared" si="21"/>
        <v>0</v>
      </c>
      <c r="AV59" s="152">
        <f t="shared" si="22"/>
        <v>0</v>
      </c>
      <c r="AW59" s="135">
        <f t="shared" si="52"/>
        <v>0</v>
      </c>
      <c r="AX59" s="134">
        <f t="shared" si="53"/>
        <v>0</v>
      </c>
      <c r="AY59" s="498" t="str">
        <f t="shared" si="54"/>
        <v/>
      </c>
      <c r="AZ59" s="152">
        <f t="shared" si="23"/>
        <v>0</v>
      </c>
      <c r="BA59" s="135">
        <f t="shared" si="24"/>
        <v>0</v>
      </c>
      <c r="BB59" s="151">
        <f t="shared" si="55"/>
        <v>0</v>
      </c>
      <c r="BC59" s="301" t="b">
        <f t="shared" si="25"/>
        <v>0</v>
      </c>
      <c r="BD59" s="109"/>
      <c r="BE59" s="313">
        <f t="shared" si="56"/>
        <v>0</v>
      </c>
      <c r="BF59" s="314">
        <f t="shared" si="26"/>
        <v>0</v>
      </c>
      <c r="BG59" s="314">
        <f t="shared" si="57"/>
        <v>0</v>
      </c>
      <c r="BH59" s="315">
        <f t="shared" si="27"/>
        <v>0</v>
      </c>
      <c r="BI59" s="308">
        <f t="shared" si="28"/>
        <v>0</v>
      </c>
      <c r="BJ59" s="308">
        <f t="shared" si="58"/>
        <v>0</v>
      </c>
      <c r="BK59" s="170">
        <f t="shared" si="29"/>
        <v>0</v>
      </c>
      <c r="BL59" s="324">
        <f t="shared" si="30"/>
        <v>0</v>
      </c>
      <c r="BM59" s="324">
        <f t="shared" si="31"/>
        <v>0</v>
      </c>
      <c r="BN59" s="324">
        <f t="shared" si="59"/>
        <v>0</v>
      </c>
      <c r="BO59" s="325">
        <f t="shared" si="60"/>
        <v>0</v>
      </c>
      <c r="BP59" s="326">
        <f t="shared" si="32"/>
        <v>0</v>
      </c>
      <c r="BQ59" s="324">
        <f t="shared" si="33"/>
        <v>0</v>
      </c>
      <c r="BR59" s="324">
        <f t="shared" si="61"/>
        <v>0</v>
      </c>
      <c r="BS59" s="325">
        <f t="shared" si="62"/>
        <v>0</v>
      </c>
      <c r="BT59" s="10"/>
      <c r="BU59" s="288">
        <f t="shared" si="34"/>
        <v>0</v>
      </c>
      <c r="BV59" s="289">
        <f t="shared" si="63"/>
        <v>0</v>
      </c>
      <c r="BW59" s="134">
        <f t="shared" si="35"/>
        <v>0</v>
      </c>
      <c r="BX59" s="294">
        <f t="shared" si="36"/>
        <v>0</v>
      </c>
      <c r="BY59" s="295">
        <f t="shared" si="37"/>
        <v>0</v>
      </c>
      <c r="BZ59" s="10"/>
      <c r="CA59" s="190">
        <f t="shared" si="38"/>
        <v>0</v>
      </c>
      <c r="CB59" s="191">
        <f t="shared" si="39"/>
        <v>0</v>
      </c>
      <c r="CC59" s="99">
        <f t="shared" si="64"/>
        <v>0</v>
      </c>
      <c r="CD59" s="299" t="str">
        <f t="shared" si="40"/>
        <v/>
      </c>
      <c r="CE59" s="305"/>
      <c r="CF59" s="10"/>
      <c r="CG59" s="10"/>
      <c r="CH59" s="10"/>
      <c r="CI59" s="10"/>
      <c r="CJ59" s="10"/>
      <c r="CK59" s="10"/>
      <c r="CL59" s="10"/>
      <c r="CM59" s="10"/>
      <c r="CN59" s="10"/>
      <c r="CO59" s="10"/>
      <c r="CP59" s="10"/>
      <c r="CQ59" s="10"/>
      <c r="CR59" s="10"/>
      <c r="CS59" s="10"/>
      <c r="CT59" s="10"/>
      <c r="CU59" s="10"/>
    </row>
    <row r="60" spans="1:99" ht="13.5" hidden="1" thickBot="1" x14ac:dyDescent="0.25">
      <c r="A60" s="11"/>
      <c r="B60" s="522" t="str">
        <f t="shared" si="41"/>
        <v>-</v>
      </c>
      <c r="C60" s="566">
        <v>28</v>
      </c>
      <c r="D60" s="616"/>
      <c r="E60" s="617"/>
      <c r="F60" s="515"/>
      <c r="G60" s="516"/>
      <c r="H60" s="581"/>
      <c r="I60" s="581"/>
      <c r="J60" s="569"/>
      <c r="K60" s="586"/>
      <c r="L60" s="587"/>
      <c r="M60" s="588"/>
      <c r="N60" s="589"/>
      <c r="O60" s="452" t="str">
        <f t="shared" si="42"/>
        <v/>
      </c>
      <c r="P60" s="453" t="str">
        <f t="shared" si="7"/>
        <v/>
      </c>
      <c r="Q60" s="499">
        <f t="shared" si="43"/>
        <v>0</v>
      </c>
      <c r="R60" s="500">
        <f t="shared" si="44"/>
        <v>0</v>
      </c>
      <c r="S60" s="454">
        <f t="shared" si="45"/>
        <v>0</v>
      </c>
      <c r="T60" s="524" t="str">
        <f t="shared" si="8"/>
        <v/>
      </c>
      <c r="U60" s="11"/>
      <c r="V60" s="12"/>
      <c r="W60" s="10"/>
      <c r="X60" s="10"/>
      <c r="Y60" s="10">
        <v>28</v>
      </c>
      <c r="Z60" s="71" t="str">
        <f t="shared" si="9"/>
        <v>-</v>
      </c>
      <c r="AA60" s="71">
        <f t="shared" si="46"/>
        <v>0</v>
      </c>
      <c r="AB60" s="10"/>
      <c r="AC60" s="134">
        <f t="shared" si="47"/>
        <v>0</v>
      </c>
      <c r="AD60" s="135">
        <f>IF(SUM(AC60:AC$112)=0,0,COUNTA(F60:G60)&gt;0)</f>
        <v>0</v>
      </c>
      <c r="AE60" s="134">
        <f t="shared" si="48"/>
        <v>0</v>
      </c>
      <c r="AF60" s="475">
        <f>IF(SUM(AC60:AC$112)=0,0,AND(AD60=FALSE,AE60=0,SUM(AE61:AE$112)&gt;0))</f>
        <v>0</v>
      </c>
      <c r="AG60" s="152">
        <f t="shared" si="10"/>
        <v>0</v>
      </c>
      <c r="AH60" s="135">
        <f t="shared" si="11"/>
        <v>0</v>
      </c>
      <c r="AI60" s="135">
        <f t="shared" si="12"/>
        <v>0</v>
      </c>
      <c r="AJ60" s="135">
        <f t="shared" si="13"/>
        <v>0</v>
      </c>
      <c r="AK60" s="183">
        <f t="shared" si="14"/>
        <v>0</v>
      </c>
      <c r="AL60" s="135">
        <f t="shared" si="15"/>
        <v>0</v>
      </c>
      <c r="AM60" s="151">
        <f t="shared" si="16"/>
        <v>0</v>
      </c>
      <c r="AN60" s="152">
        <f t="shared" si="17"/>
        <v>0</v>
      </c>
      <c r="AO60" s="135">
        <f t="shared" si="18"/>
        <v>0</v>
      </c>
      <c r="AP60" s="146">
        <f t="shared" si="49"/>
        <v>0</v>
      </c>
      <c r="AQ60" s="152">
        <f t="shared" si="50"/>
        <v>0</v>
      </c>
      <c r="AR60" s="151">
        <f t="shared" si="51"/>
        <v>0</v>
      </c>
      <c r="AS60" s="152">
        <f t="shared" si="19"/>
        <v>0</v>
      </c>
      <c r="AT60" s="135">
        <f t="shared" si="20"/>
        <v>0</v>
      </c>
      <c r="AU60" s="151">
        <f t="shared" si="21"/>
        <v>0</v>
      </c>
      <c r="AV60" s="152">
        <f t="shared" si="22"/>
        <v>0</v>
      </c>
      <c r="AW60" s="135">
        <f t="shared" si="52"/>
        <v>0</v>
      </c>
      <c r="AX60" s="134">
        <f t="shared" si="53"/>
        <v>0</v>
      </c>
      <c r="AY60" s="498" t="str">
        <f t="shared" si="54"/>
        <v/>
      </c>
      <c r="AZ60" s="152">
        <f t="shared" si="23"/>
        <v>0</v>
      </c>
      <c r="BA60" s="135">
        <f t="shared" si="24"/>
        <v>0</v>
      </c>
      <c r="BB60" s="151">
        <f t="shared" si="55"/>
        <v>0</v>
      </c>
      <c r="BC60" s="301" t="b">
        <f t="shared" si="25"/>
        <v>0</v>
      </c>
      <c r="BD60" s="109"/>
      <c r="BE60" s="313">
        <f t="shared" si="56"/>
        <v>0</v>
      </c>
      <c r="BF60" s="314">
        <f t="shared" si="26"/>
        <v>0</v>
      </c>
      <c r="BG60" s="314">
        <f t="shared" si="57"/>
        <v>0</v>
      </c>
      <c r="BH60" s="315">
        <f t="shared" si="27"/>
        <v>0</v>
      </c>
      <c r="BI60" s="308">
        <f t="shared" si="28"/>
        <v>0</v>
      </c>
      <c r="BJ60" s="308">
        <f t="shared" si="58"/>
        <v>0</v>
      </c>
      <c r="BK60" s="170">
        <f t="shared" si="29"/>
        <v>0</v>
      </c>
      <c r="BL60" s="324">
        <f t="shared" si="30"/>
        <v>0</v>
      </c>
      <c r="BM60" s="324">
        <f t="shared" si="31"/>
        <v>0</v>
      </c>
      <c r="BN60" s="324">
        <f t="shared" si="59"/>
        <v>0</v>
      </c>
      <c r="BO60" s="325">
        <f t="shared" si="60"/>
        <v>0</v>
      </c>
      <c r="BP60" s="326">
        <f t="shared" si="32"/>
        <v>0</v>
      </c>
      <c r="BQ60" s="324">
        <f t="shared" si="33"/>
        <v>0</v>
      </c>
      <c r="BR60" s="324">
        <f t="shared" si="61"/>
        <v>0</v>
      </c>
      <c r="BS60" s="325">
        <f t="shared" si="62"/>
        <v>0</v>
      </c>
      <c r="BT60" s="10"/>
      <c r="BU60" s="288">
        <f t="shared" si="34"/>
        <v>0</v>
      </c>
      <c r="BV60" s="289">
        <f t="shared" si="63"/>
        <v>0</v>
      </c>
      <c r="BW60" s="134">
        <f t="shared" si="35"/>
        <v>0</v>
      </c>
      <c r="BX60" s="294">
        <f t="shared" si="36"/>
        <v>0</v>
      </c>
      <c r="BY60" s="295">
        <f t="shared" si="37"/>
        <v>0</v>
      </c>
      <c r="BZ60" s="10"/>
      <c r="CA60" s="190">
        <f t="shared" si="38"/>
        <v>0</v>
      </c>
      <c r="CB60" s="191">
        <f t="shared" si="39"/>
        <v>0</v>
      </c>
      <c r="CC60" s="99">
        <f t="shared" si="64"/>
        <v>0</v>
      </c>
      <c r="CD60" s="299" t="str">
        <f t="shared" si="40"/>
        <v/>
      </c>
      <c r="CE60" s="305"/>
      <c r="CF60" s="10"/>
      <c r="CG60" s="10"/>
      <c r="CH60" s="10"/>
      <c r="CI60" s="10"/>
      <c r="CJ60" s="10"/>
      <c r="CK60" s="10"/>
      <c r="CL60" s="10"/>
      <c r="CM60" s="10"/>
      <c r="CN60" s="10"/>
      <c r="CO60" s="10"/>
      <c r="CP60" s="10"/>
      <c r="CQ60" s="10"/>
      <c r="CR60" s="10"/>
      <c r="CS60" s="10"/>
      <c r="CT60" s="10"/>
      <c r="CU60" s="10"/>
    </row>
    <row r="61" spans="1:99" ht="13.5" hidden="1" thickBot="1" x14ac:dyDescent="0.25">
      <c r="A61" s="11"/>
      <c r="B61" s="522" t="str">
        <f t="shared" si="41"/>
        <v>-</v>
      </c>
      <c r="C61" s="566">
        <v>29</v>
      </c>
      <c r="D61" s="616"/>
      <c r="E61" s="617"/>
      <c r="F61" s="515"/>
      <c r="G61" s="516"/>
      <c r="H61" s="581"/>
      <c r="I61" s="581"/>
      <c r="J61" s="569"/>
      <c r="K61" s="586"/>
      <c r="L61" s="587"/>
      <c r="M61" s="588"/>
      <c r="N61" s="589"/>
      <c r="O61" s="452" t="str">
        <f t="shared" si="42"/>
        <v/>
      </c>
      <c r="P61" s="453" t="str">
        <f t="shared" si="7"/>
        <v/>
      </c>
      <c r="Q61" s="499">
        <f t="shared" si="43"/>
        <v>0</v>
      </c>
      <c r="R61" s="500">
        <f t="shared" si="44"/>
        <v>0</v>
      </c>
      <c r="S61" s="454">
        <f t="shared" si="45"/>
        <v>0</v>
      </c>
      <c r="T61" s="524" t="str">
        <f t="shared" si="8"/>
        <v/>
      </c>
      <c r="U61" s="11"/>
      <c r="V61" s="12"/>
      <c r="W61" s="10"/>
      <c r="X61" s="10"/>
      <c r="Y61" s="10">
        <v>29</v>
      </c>
      <c r="Z61" s="71" t="str">
        <f t="shared" si="9"/>
        <v>-</v>
      </c>
      <c r="AA61" s="71">
        <f t="shared" si="46"/>
        <v>0</v>
      </c>
      <c r="AB61" s="10"/>
      <c r="AC61" s="134">
        <f t="shared" si="47"/>
        <v>0</v>
      </c>
      <c r="AD61" s="135">
        <f>IF(SUM(AC61:AC$112)=0,0,COUNTA(F61:G61)&gt;0)</f>
        <v>0</v>
      </c>
      <c r="AE61" s="134">
        <f t="shared" si="48"/>
        <v>0</v>
      </c>
      <c r="AF61" s="475">
        <f>IF(SUM(AC61:AC$112)=0,0,AND(AD61=FALSE,AE61=0,SUM(AE62:AE$112)&gt;0))</f>
        <v>0</v>
      </c>
      <c r="AG61" s="152">
        <f t="shared" si="10"/>
        <v>0</v>
      </c>
      <c r="AH61" s="135">
        <f t="shared" si="11"/>
        <v>0</v>
      </c>
      <c r="AI61" s="135">
        <f t="shared" si="12"/>
        <v>0</v>
      </c>
      <c r="AJ61" s="135">
        <f t="shared" si="13"/>
        <v>0</v>
      </c>
      <c r="AK61" s="183">
        <f t="shared" si="14"/>
        <v>0</v>
      </c>
      <c r="AL61" s="135">
        <f t="shared" si="15"/>
        <v>0</v>
      </c>
      <c r="AM61" s="151">
        <f t="shared" si="16"/>
        <v>0</v>
      </c>
      <c r="AN61" s="152">
        <f t="shared" si="17"/>
        <v>0</v>
      </c>
      <c r="AO61" s="135">
        <f t="shared" si="18"/>
        <v>0</v>
      </c>
      <c r="AP61" s="146">
        <f t="shared" si="49"/>
        <v>0</v>
      </c>
      <c r="AQ61" s="152">
        <f t="shared" si="50"/>
        <v>0</v>
      </c>
      <c r="AR61" s="151">
        <f t="shared" si="51"/>
        <v>0</v>
      </c>
      <c r="AS61" s="152">
        <f t="shared" si="19"/>
        <v>0</v>
      </c>
      <c r="AT61" s="135">
        <f t="shared" si="20"/>
        <v>0</v>
      </c>
      <c r="AU61" s="151">
        <f t="shared" si="21"/>
        <v>0</v>
      </c>
      <c r="AV61" s="152">
        <f t="shared" si="22"/>
        <v>0</v>
      </c>
      <c r="AW61" s="135">
        <f t="shared" si="52"/>
        <v>0</v>
      </c>
      <c r="AX61" s="134">
        <f t="shared" si="53"/>
        <v>0</v>
      </c>
      <c r="AY61" s="498" t="str">
        <f t="shared" si="54"/>
        <v/>
      </c>
      <c r="AZ61" s="152">
        <f t="shared" si="23"/>
        <v>0</v>
      </c>
      <c r="BA61" s="135">
        <f t="shared" si="24"/>
        <v>0</v>
      </c>
      <c r="BB61" s="151">
        <f t="shared" si="55"/>
        <v>0</v>
      </c>
      <c r="BC61" s="301" t="b">
        <f t="shared" si="25"/>
        <v>0</v>
      </c>
      <c r="BD61" s="109"/>
      <c r="BE61" s="313">
        <f t="shared" si="56"/>
        <v>0</v>
      </c>
      <c r="BF61" s="314">
        <f t="shared" si="26"/>
        <v>0</v>
      </c>
      <c r="BG61" s="314">
        <f t="shared" si="57"/>
        <v>0</v>
      </c>
      <c r="BH61" s="315">
        <f t="shared" si="27"/>
        <v>0</v>
      </c>
      <c r="BI61" s="308">
        <f t="shared" si="28"/>
        <v>0</v>
      </c>
      <c r="BJ61" s="308">
        <f t="shared" si="58"/>
        <v>0</v>
      </c>
      <c r="BK61" s="170">
        <f t="shared" si="29"/>
        <v>0</v>
      </c>
      <c r="BL61" s="324">
        <f t="shared" si="30"/>
        <v>0</v>
      </c>
      <c r="BM61" s="324">
        <f t="shared" si="31"/>
        <v>0</v>
      </c>
      <c r="BN61" s="324">
        <f t="shared" si="59"/>
        <v>0</v>
      </c>
      <c r="BO61" s="325">
        <f t="shared" si="60"/>
        <v>0</v>
      </c>
      <c r="BP61" s="326">
        <f t="shared" si="32"/>
        <v>0</v>
      </c>
      <c r="BQ61" s="324">
        <f t="shared" si="33"/>
        <v>0</v>
      </c>
      <c r="BR61" s="324">
        <f t="shared" si="61"/>
        <v>0</v>
      </c>
      <c r="BS61" s="325">
        <f t="shared" si="62"/>
        <v>0</v>
      </c>
      <c r="BT61" s="10"/>
      <c r="BU61" s="288">
        <f t="shared" si="34"/>
        <v>0</v>
      </c>
      <c r="BV61" s="289">
        <f t="shared" si="63"/>
        <v>0</v>
      </c>
      <c r="BW61" s="134">
        <f t="shared" si="35"/>
        <v>0</v>
      </c>
      <c r="BX61" s="294">
        <f t="shared" si="36"/>
        <v>0</v>
      </c>
      <c r="BY61" s="295">
        <f t="shared" si="37"/>
        <v>0</v>
      </c>
      <c r="BZ61" s="10"/>
      <c r="CA61" s="190">
        <f t="shared" si="38"/>
        <v>0</v>
      </c>
      <c r="CB61" s="191">
        <f t="shared" si="39"/>
        <v>0</v>
      </c>
      <c r="CC61" s="99">
        <f t="shared" si="64"/>
        <v>0</v>
      </c>
      <c r="CD61" s="299" t="str">
        <f t="shared" si="40"/>
        <v/>
      </c>
      <c r="CE61" s="305"/>
      <c r="CF61" s="10"/>
      <c r="CG61" s="10"/>
      <c r="CH61" s="10"/>
      <c r="CI61" s="10"/>
      <c r="CJ61" s="10"/>
      <c r="CK61" s="10"/>
      <c r="CL61" s="10"/>
      <c r="CM61" s="10"/>
      <c r="CN61" s="10"/>
      <c r="CO61" s="10"/>
      <c r="CP61" s="10"/>
      <c r="CQ61" s="10"/>
      <c r="CR61" s="10"/>
      <c r="CS61" s="10"/>
      <c r="CT61" s="10"/>
      <c r="CU61" s="10"/>
    </row>
    <row r="62" spans="1:99" ht="13.5" hidden="1" thickBot="1" x14ac:dyDescent="0.25">
      <c r="A62" s="11"/>
      <c r="B62" s="522" t="str">
        <f t="shared" si="41"/>
        <v>-</v>
      </c>
      <c r="C62" s="566">
        <v>30</v>
      </c>
      <c r="D62" s="616"/>
      <c r="E62" s="617"/>
      <c r="F62" s="515"/>
      <c r="G62" s="516"/>
      <c r="H62" s="581"/>
      <c r="I62" s="581"/>
      <c r="J62" s="569"/>
      <c r="K62" s="586"/>
      <c r="L62" s="587"/>
      <c r="M62" s="588"/>
      <c r="N62" s="589"/>
      <c r="O62" s="452" t="str">
        <f t="shared" si="42"/>
        <v/>
      </c>
      <c r="P62" s="453" t="str">
        <f t="shared" si="7"/>
        <v/>
      </c>
      <c r="Q62" s="499">
        <f t="shared" si="43"/>
        <v>0</v>
      </c>
      <c r="R62" s="500">
        <f t="shared" si="44"/>
        <v>0</v>
      </c>
      <c r="S62" s="454">
        <f t="shared" si="45"/>
        <v>0</v>
      </c>
      <c r="T62" s="524" t="str">
        <f t="shared" si="8"/>
        <v/>
      </c>
      <c r="U62" s="11"/>
      <c r="V62" s="12"/>
      <c r="W62" s="10"/>
      <c r="X62" s="10"/>
      <c r="Y62" s="10">
        <v>30</v>
      </c>
      <c r="Z62" s="71" t="str">
        <f t="shared" si="9"/>
        <v>-</v>
      </c>
      <c r="AA62" s="71">
        <f t="shared" si="46"/>
        <v>0</v>
      </c>
      <c r="AB62" s="10"/>
      <c r="AC62" s="134">
        <f t="shared" si="47"/>
        <v>0</v>
      </c>
      <c r="AD62" s="135">
        <f>IF(SUM(AC62:AC$112)=0,0,COUNTA(F62:G62)&gt;0)</f>
        <v>0</v>
      </c>
      <c r="AE62" s="134">
        <f t="shared" si="48"/>
        <v>0</v>
      </c>
      <c r="AF62" s="475">
        <f>IF(SUM(AC62:AC$112)=0,0,AND(AD62=FALSE,AE62=0,SUM(AE63:AE$112)&gt;0))</f>
        <v>0</v>
      </c>
      <c r="AG62" s="152">
        <f t="shared" si="10"/>
        <v>0</v>
      </c>
      <c r="AH62" s="135">
        <f t="shared" si="11"/>
        <v>0</v>
      </c>
      <c r="AI62" s="135">
        <f t="shared" si="12"/>
        <v>0</v>
      </c>
      <c r="AJ62" s="135">
        <f t="shared" si="13"/>
        <v>0</v>
      </c>
      <c r="AK62" s="183">
        <f t="shared" si="14"/>
        <v>0</v>
      </c>
      <c r="AL62" s="135">
        <f t="shared" si="15"/>
        <v>0</v>
      </c>
      <c r="AM62" s="151">
        <f t="shared" si="16"/>
        <v>0</v>
      </c>
      <c r="AN62" s="152">
        <f t="shared" si="17"/>
        <v>0</v>
      </c>
      <c r="AO62" s="135">
        <f t="shared" si="18"/>
        <v>0</v>
      </c>
      <c r="AP62" s="146">
        <f t="shared" si="49"/>
        <v>0</v>
      </c>
      <c r="AQ62" s="152">
        <f t="shared" si="50"/>
        <v>0</v>
      </c>
      <c r="AR62" s="151">
        <f t="shared" si="51"/>
        <v>0</v>
      </c>
      <c r="AS62" s="152">
        <f t="shared" si="19"/>
        <v>0</v>
      </c>
      <c r="AT62" s="135">
        <f t="shared" si="20"/>
        <v>0</v>
      </c>
      <c r="AU62" s="151">
        <f t="shared" si="21"/>
        <v>0</v>
      </c>
      <c r="AV62" s="152">
        <f t="shared" si="22"/>
        <v>0</v>
      </c>
      <c r="AW62" s="135">
        <f t="shared" si="52"/>
        <v>0</v>
      </c>
      <c r="AX62" s="134">
        <f t="shared" si="53"/>
        <v>0</v>
      </c>
      <c r="AY62" s="498" t="str">
        <f t="shared" si="54"/>
        <v/>
      </c>
      <c r="AZ62" s="152">
        <f t="shared" si="23"/>
        <v>0</v>
      </c>
      <c r="BA62" s="135">
        <f t="shared" si="24"/>
        <v>0</v>
      </c>
      <c r="BB62" s="151">
        <f t="shared" si="55"/>
        <v>0</v>
      </c>
      <c r="BC62" s="301" t="b">
        <f t="shared" si="25"/>
        <v>0</v>
      </c>
      <c r="BD62" s="109"/>
      <c r="BE62" s="313">
        <f t="shared" si="56"/>
        <v>0</v>
      </c>
      <c r="BF62" s="314">
        <f t="shared" si="26"/>
        <v>0</v>
      </c>
      <c r="BG62" s="314">
        <f t="shared" si="57"/>
        <v>0</v>
      </c>
      <c r="BH62" s="315">
        <f t="shared" si="27"/>
        <v>0</v>
      </c>
      <c r="BI62" s="308">
        <f t="shared" si="28"/>
        <v>0</v>
      </c>
      <c r="BJ62" s="308">
        <f t="shared" si="58"/>
        <v>0</v>
      </c>
      <c r="BK62" s="170">
        <f t="shared" si="29"/>
        <v>0</v>
      </c>
      <c r="BL62" s="324">
        <f t="shared" si="30"/>
        <v>0</v>
      </c>
      <c r="BM62" s="324">
        <f t="shared" si="31"/>
        <v>0</v>
      </c>
      <c r="BN62" s="324">
        <f t="shared" si="59"/>
        <v>0</v>
      </c>
      <c r="BO62" s="325">
        <f t="shared" si="60"/>
        <v>0</v>
      </c>
      <c r="BP62" s="326">
        <f t="shared" si="32"/>
        <v>0</v>
      </c>
      <c r="BQ62" s="324">
        <f t="shared" si="33"/>
        <v>0</v>
      </c>
      <c r="BR62" s="324">
        <f t="shared" si="61"/>
        <v>0</v>
      </c>
      <c r="BS62" s="325">
        <f t="shared" si="62"/>
        <v>0</v>
      </c>
      <c r="BT62" s="10"/>
      <c r="BU62" s="288">
        <f t="shared" si="34"/>
        <v>0</v>
      </c>
      <c r="BV62" s="289">
        <f t="shared" si="63"/>
        <v>0</v>
      </c>
      <c r="BW62" s="134">
        <f t="shared" si="35"/>
        <v>0</v>
      </c>
      <c r="BX62" s="294">
        <f t="shared" si="36"/>
        <v>0</v>
      </c>
      <c r="BY62" s="295">
        <f t="shared" si="37"/>
        <v>0</v>
      </c>
      <c r="BZ62" s="10"/>
      <c r="CA62" s="190">
        <f t="shared" si="38"/>
        <v>0</v>
      </c>
      <c r="CB62" s="191">
        <f t="shared" si="39"/>
        <v>0</v>
      </c>
      <c r="CC62" s="99">
        <f t="shared" si="64"/>
        <v>0</v>
      </c>
      <c r="CD62" s="299" t="str">
        <f t="shared" si="40"/>
        <v/>
      </c>
      <c r="CE62" s="305"/>
      <c r="CF62" s="10"/>
      <c r="CG62" s="10"/>
      <c r="CH62" s="10"/>
      <c r="CI62" s="10"/>
      <c r="CJ62" s="10"/>
      <c r="CK62" s="10"/>
      <c r="CL62" s="10"/>
      <c r="CM62" s="10"/>
      <c r="CN62" s="10"/>
      <c r="CO62" s="10"/>
      <c r="CP62" s="10"/>
      <c r="CQ62" s="10"/>
      <c r="CR62" s="10"/>
      <c r="CS62" s="10"/>
      <c r="CT62" s="10"/>
      <c r="CU62" s="10"/>
    </row>
    <row r="63" spans="1:99" ht="13.5" hidden="1" thickBot="1" x14ac:dyDescent="0.25">
      <c r="A63" s="11"/>
      <c r="B63" s="522" t="str">
        <f t="shared" si="41"/>
        <v>-</v>
      </c>
      <c r="C63" s="566">
        <v>31</v>
      </c>
      <c r="D63" s="616"/>
      <c r="E63" s="617"/>
      <c r="F63" s="515"/>
      <c r="G63" s="516"/>
      <c r="H63" s="581"/>
      <c r="I63" s="581"/>
      <c r="J63" s="569"/>
      <c r="K63" s="586"/>
      <c r="L63" s="587"/>
      <c r="M63" s="588"/>
      <c r="N63" s="589"/>
      <c r="O63" s="452" t="str">
        <f t="shared" si="42"/>
        <v/>
      </c>
      <c r="P63" s="453" t="str">
        <f t="shared" si="7"/>
        <v/>
      </c>
      <c r="Q63" s="499">
        <f t="shared" si="43"/>
        <v>0</v>
      </c>
      <c r="R63" s="500">
        <f t="shared" si="44"/>
        <v>0</v>
      </c>
      <c r="S63" s="454">
        <f t="shared" si="45"/>
        <v>0</v>
      </c>
      <c r="T63" s="524" t="str">
        <f t="shared" si="8"/>
        <v/>
      </c>
      <c r="U63" s="11"/>
      <c r="V63" s="12"/>
      <c r="W63" s="10"/>
      <c r="X63" s="10"/>
      <c r="Y63" s="10">
        <v>31</v>
      </c>
      <c r="Z63" s="71" t="str">
        <f t="shared" si="9"/>
        <v>-</v>
      </c>
      <c r="AA63" s="71">
        <f t="shared" si="46"/>
        <v>0</v>
      </c>
      <c r="AB63" s="10"/>
      <c r="AC63" s="134">
        <f t="shared" si="47"/>
        <v>0</v>
      </c>
      <c r="AD63" s="135">
        <f>IF(SUM(AC63:AC$112)=0,0,COUNTA(F63:G63)&gt;0)</f>
        <v>0</v>
      </c>
      <c r="AE63" s="134">
        <f t="shared" si="48"/>
        <v>0</v>
      </c>
      <c r="AF63" s="475">
        <f>IF(SUM(AC63:AC$112)=0,0,AND(AD63=FALSE,AE63=0,SUM(AE64:AE$112)&gt;0))</f>
        <v>0</v>
      </c>
      <c r="AG63" s="152">
        <f t="shared" si="10"/>
        <v>0</v>
      </c>
      <c r="AH63" s="135">
        <f t="shared" si="11"/>
        <v>0</v>
      </c>
      <c r="AI63" s="135">
        <f t="shared" si="12"/>
        <v>0</v>
      </c>
      <c r="AJ63" s="135">
        <f t="shared" si="13"/>
        <v>0</v>
      </c>
      <c r="AK63" s="183">
        <f t="shared" si="14"/>
        <v>0</v>
      </c>
      <c r="AL63" s="135">
        <f t="shared" si="15"/>
        <v>0</v>
      </c>
      <c r="AM63" s="151">
        <f t="shared" si="16"/>
        <v>0</v>
      </c>
      <c r="AN63" s="152">
        <f t="shared" si="17"/>
        <v>0</v>
      </c>
      <c r="AO63" s="135">
        <f t="shared" si="18"/>
        <v>0</v>
      </c>
      <c r="AP63" s="146">
        <f t="shared" si="49"/>
        <v>0</v>
      </c>
      <c r="AQ63" s="152">
        <f t="shared" si="50"/>
        <v>0</v>
      </c>
      <c r="AR63" s="151">
        <f t="shared" si="51"/>
        <v>0</v>
      </c>
      <c r="AS63" s="152">
        <f t="shared" si="19"/>
        <v>0</v>
      </c>
      <c r="AT63" s="135">
        <f t="shared" si="20"/>
        <v>0</v>
      </c>
      <c r="AU63" s="151">
        <f t="shared" si="21"/>
        <v>0</v>
      </c>
      <c r="AV63" s="152">
        <f t="shared" si="22"/>
        <v>0</v>
      </c>
      <c r="AW63" s="135">
        <f t="shared" si="52"/>
        <v>0</v>
      </c>
      <c r="AX63" s="134">
        <f t="shared" si="53"/>
        <v>0</v>
      </c>
      <c r="AY63" s="498" t="str">
        <f t="shared" si="54"/>
        <v/>
      </c>
      <c r="AZ63" s="152">
        <f t="shared" si="23"/>
        <v>0</v>
      </c>
      <c r="BA63" s="135">
        <f t="shared" si="24"/>
        <v>0</v>
      </c>
      <c r="BB63" s="151">
        <f t="shared" si="55"/>
        <v>0</v>
      </c>
      <c r="BC63" s="301" t="b">
        <f t="shared" si="25"/>
        <v>0</v>
      </c>
      <c r="BD63" s="109"/>
      <c r="BE63" s="313">
        <f t="shared" si="56"/>
        <v>0</v>
      </c>
      <c r="BF63" s="314">
        <f t="shared" si="26"/>
        <v>0</v>
      </c>
      <c r="BG63" s="314">
        <f t="shared" si="57"/>
        <v>0</v>
      </c>
      <c r="BH63" s="315">
        <f t="shared" si="27"/>
        <v>0</v>
      </c>
      <c r="BI63" s="308">
        <f t="shared" si="28"/>
        <v>0</v>
      </c>
      <c r="BJ63" s="308">
        <f t="shared" si="58"/>
        <v>0</v>
      </c>
      <c r="BK63" s="170">
        <f t="shared" si="29"/>
        <v>0</v>
      </c>
      <c r="BL63" s="324">
        <f t="shared" si="30"/>
        <v>0</v>
      </c>
      <c r="BM63" s="324">
        <f t="shared" si="31"/>
        <v>0</v>
      </c>
      <c r="BN63" s="324">
        <f t="shared" si="59"/>
        <v>0</v>
      </c>
      <c r="BO63" s="325">
        <f t="shared" si="60"/>
        <v>0</v>
      </c>
      <c r="BP63" s="326">
        <f t="shared" si="32"/>
        <v>0</v>
      </c>
      <c r="BQ63" s="324">
        <f t="shared" si="33"/>
        <v>0</v>
      </c>
      <c r="BR63" s="324">
        <f t="shared" si="61"/>
        <v>0</v>
      </c>
      <c r="BS63" s="325">
        <f t="shared" si="62"/>
        <v>0</v>
      </c>
      <c r="BT63" s="10"/>
      <c r="BU63" s="288">
        <f t="shared" si="34"/>
        <v>0</v>
      </c>
      <c r="BV63" s="289">
        <f t="shared" si="63"/>
        <v>0</v>
      </c>
      <c r="BW63" s="134">
        <f t="shared" si="35"/>
        <v>0</v>
      </c>
      <c r="BX63" s="294">
        <f t="shared" si="36"/>
        <v>0</v>
      </c>
      <c r="BY63" s="295">
        <f t="shared" si="37"/>
        <v>0</v>
      </c>
      <c r="BZ63" s="10"/>
      <c r="CA63" s="190">
        <f t="shared" si="38"/>
        <v>0</v>
      </c>
      <c r="CB63" s="191">
        <f t="shared" si="39"/>
        <v>0</v>
      </c>
      <c r="CC63" s="99">
        <f t="shared" si="64"/>
        <v>0</v>
      </c>
      <c r="CD63" s="299" t="str">
        <f t="shared" si="40"/>
        <v/>
      </c>
      <c r="CE63" s="305"/>
      <c r="CF63" s="10"/>
      <c r="CG63" s="10"/>
      <c r="CH63" s="10"/>
      <c r="CI63" s="10"/>
      <c r="CJ63" s="10"/>
      <c r="CK63" s="10"/>
      <c r="CL63" s="10"/>
      <c r="CM63" s="10"/>
      <c r="CN63" s="10"/>
      <c r="CO63" s="10"/>
      <c r="CP63" s="10"/>
      <c r="CQ63" s="10"/>
      <c r="CR63" s="10"/>
      <c r="CS63" s="10"/>
      <c r="CT63" s="10"/>
      <c r="CU63" s="10"/>
    </row>
    <row r="64" spans="1:99" ht="13.5" hidden="1" thickBot="1" x14ac:dyDescent="0.25">
      <c r="A64" s="11"/>
      <c r="B64" s="522" t="str">
        <f t="shared" si="41"/>
        <v>-</v>
      </c>
      <c r="C64" s="566">
        <v>32</v>
      </c>
      <c r="D64" s="616"/>
      <c r="E64" s="617"/>
      <c r="F64" s="515"/>
      <c r="G64" s="516"/>
      <c r="H64" s="581"/>
      <c r="I64" s="581"/>
      <c r="J64" s="569"/>
      <c r="K64" s="586"/>
      <c r="L64" s="587"/>
      <c r="M64" s="588"/>
      <c r="N64" s="589"/>
      <c r="O64" s="452" t="str">
        <f t="shared" si="42"/>
        <v/>
      </c>
      <c r="P64" s="453" t="str">
        <f t="shared" si="7"/>
        <v/>
      </c>
      <c r="Q64" s="499">
        <f t="shared" si="43"/>
        <v>0</v>
      </c>
      <c r="R64" s="500">
        <f t="shared" si="44"/>
        <v>0</v>
      </c>
      <c r="S64" s="454">
        <f t="shared" si="45"/>
        <v>0</v>
      </c>
      <c r="T64" s="524" t="str">
        <f t="shared" si="8"/>
        <v/>
      </c>
      <c r="U64" s="11"/>
      <c r="V64" s="12"/>
      <c r="W64" s="10"/>
      <c r="X64" s="10"/>
      <c r="Y64" s="10">
        <v>32</v>
      </c>
      <c r="Z64" s="71" t="str">
        <f t="shared" si="9"/>
        <v>-</v>
      </c>
      <c r="AA64" s="71">
        <f t="shared" si="46"/>
        <v>0</v>
      </c>
      <c r="AB64" s="10"/>
      <c r="AC64" s="134">
        <f t="shared" si="47"/>
        <v>0</v>
      </c>
      <c r="AD64" s="135">
        <f>IF(SUM(AC64:AC$112)=0,0,COUNTA(F64:G64)&gt;0)</f>
        <v>0</v>
      </c>
      <c r="AE64" s="134">
        <f t="shared" si="48"/>
        <v>0</v>
      </c>
      <c r="AF64" s="475">
        <f>IF(SUM(AC64:AC$112)=0,0,AND(AD64=FALSE,AE64=0,SUM(AE65:AE$112)&gt;0))</f>
        <v>0</v>
      </c>
      <c r="AG64" s="152">
        <f t="shared" si="10"/>
        <v>0</v>
      </c>
      <c r="AH64" s="135">
        <f t="shared" si="11"/>
        <v>0</v>
      </c>
      <c r="AI64" s="135">
        <f t="shared" si="12"/>
        <v>0</v>
      </c>
      <c r="AJ64" s="135">
        <f t="shared" si="13"/>
        <v>0</v>
      </c>
      <c r="AK64" s="183">
        <f t="shared" si="14"/>
        <v>0</v>
      </c>
      <c r="AL64" s="135">
        <f t="shared" si="15"/>
        <v>0</v>
      </c>
      <c r="AM64" s="151">
        <f t="shared" si="16"/>
        <v>0</v>
      </c>
      <c r="AN64" s="152">
        <f t="shared" si="17"/>
        <v>0</v>
      </c>
      <c r="AO64" s="135">
        <f t="shared" si="18"/>
        <v>0</v>
      </c>
      <c r="AP64" s="146">
        <f t="shared" si="49"/>
        <v>0</v>
      </c>
      <c r="AQ64" s="152">
        <f t="shared" si="50"/>
        <v>0</v>
      </c>
      <c r="AR64" s="151">
        <f t="shared" si="51"/>
        <v>0</v>
      </c>
      <c r="AS64" s="152">
        <f t="shared" si="19"/>
        <v>0</v>
      </c>
      <c r="AT64" s="135">
        <f t="shared" si="20"/>
        <v>0</v>
      </c>
      <c r="AU64" s="151">
        <f t="shared" si="21"/>
        <v>0</v>
      </c>
      <c r="AV64" s="152">
        <f t="shared" si="22"/>
        <v>0</v>
      </c>
      <c r="AW64" s="135">
        <f t="shared" si="52"/>
        <v>0</v>
      </c>
      <c r="AX64" s="134">
        <f t="shared" si="53"/>
        <v>0</v>
      </c>
      <c r="AY64" s="498" t="str">
        <f t="shared" si="54"/>
        <v/>
      </c>
      <c r="AZ64" s="152">
        <f t="shared" si="23"/>
        <v>0</v>
      </c>
      <c r="BA64" s="135">
        <f t="shared" si="24"/>
        <v>0</v>
      </c>
      <c r="BB64" s="151">
        <f t="shared" si="55"/>
        <v>0</v>
      </c>
      <c r="BC64" s="301" t="b">
        <f t="shared" si="25"/>
        <v>0</v>
      </c>
      <c r="BD64" s="109"/>
      <c r="BE64" s="313">
        <f t="shared" si="56"/>
        <v>0</v>
      </c>
      <c r="BF64" s="314">
        <f t="shared" si="26"/>
        <v>0</v>
      </c>
      <c r="BG64" s="314">
        <f t="shared" si="57"/>
        <v>0</v>
      </c>
      <c r="BH64" s="315">
        <f t="shared" si="27"/>
        <v>0</v>
      </c>
      <c r="BI64" s="308">
        <f t="shared" si="28"/>
        <v>0</v>
      </c>
      <c r="BJ64" s="308">
        <f t="shared" si="58"/>
        <v>0</v>
      </c>
      <c r="BK64" s="170">
        <f t="shared" si="29"/>
        <v>0</v>
      </c>
      <c r="BL64" s="324">
        <f t="shared" si="30"/>
        <v>0</v>
      </c>
      <c r="BM64" s="324">
        <f t="shared" si="31"/>
        <v>0</v>
      </c>
      <c r="BN64" s="324">
        <f t="shared" si="59"/>
        <v>0</v>
      </c>
      <c r="BO64" s="325">
        <f t="shared" si="60"/>
        <v>0</v>
      </c>
      <c r="BP64" s="326">
        <f t="shared" si="32"/>
        <v>0</v>
      </c>
      <c r="BQ64" s="324">
        <f t="shared" si="33"/>
        <v>0</v>
      </c>
      <c r="BR64" s="324">
        <f t="shared" si="61"/>
        <v>0</v>
      </c>
      <c r="BS64" s="325">
        <f t="shared" si="62"/>
        <v>0</v>
      </c>
      <c r="BT64" s="10"/>
      <c r="BU64" s="288">
        <f t="shared" si="34"/>
        <v>0</v>
      </c>
      <c r="BV64" s="289">
        <f t="shared" si="63"/>
        <v>0</v>
      </c>
      <c r="BW64" s="134">
        <f t="shared" si="35"/>
        <v>0</v>
      </c>
      <c r="BX64" s="294">
        <f t="shared" si="36"/>
        <v>0</v>
      </c>
      <c r="BY64" s="295">
        <f t="shared" si="37"/>
        <v>0</v>
      </c>
      <c r="BZ64" s="10"/>
      <c r="CA64" s="190">
        <f t="shared" si="38"/>
        <v>0</v>
      </c>
      <c r="CB64" s="191">
        <f t="shared" si="39"/>
        <v>0</v>
      </c>
      <c r="CC64" s="99">
        <f t="shared" si="64"/>
        <v>0</v>
      </c>
      <c r="CD64" s="299" t="str">
        <f t="shared" si="40"/>
        <v/>
      </c>
      <c r="CE64" s="305"/>
      <c r="CF64" s="10"/>
      <c r="CG64" s="10"/>
      <c r="CH64" s="10"/>
      <c r="CI64" s="10"/>
      <c r="CJ64" s="10"/>
      <c r="CK64" s="10"/>
      <c r="CL64" s="10"/>
      <c r="CM64" s="10"/>
      <c r="CN64" s="10"/>
      <c r="CO64" s="10"/>
      <c r="CP64" s="10"/>
      <c r="CQ64" s="10"/>
      <c r="CR64" s="10"/>
      <c r="CS64" s="10"/>
      <c r="CT64" s="10"/>
      <c r="CU64" s="10"/>
    </row>
    <row r="65" spans="1:99" ht="13.5" hidden="1" thickBot="1" x14ac:dyDescent="0.25">
      <c r="A65" s="11"/>
      <c r="B65" s="522" t="str">
        <f t="shared" si="41"/>
        <v>-</v>
      </c>
      <c r="C65" s="566">
        <v>33</v>
      </c>
      <c r="D65" s="616"/>
      <c r="E65" s="617"/>
      <c r="F65" s="515"/>
      <c r="G65" s="516"/>
      <c r="H65" s="581"/>
      <c r="I65" s="581"/>
      <c r="J65" s="569"/>
      <c r="K65" s="586"/>
      <c r="L65" s="587"/>
      <c r="M65" s="588"/>
      <c r="N65" s="589"/>
      <c r="O65" s="452" t="str">
        <f t="shared" si="42"/>
        <v/>
      </c>
      <c r="P65" s="453" t="str">
        <f t="shared" si="7"/>
        <v/>
      </c>
      <c r="Q65" s="499">
        <f t="shared" si="43"/>
        <v>0</v>
      </c>
      <c r="R65" s="500">
        <f t="shared" si="44"/>
        <v>0</v>
      </c>
      <c r="S65" s="454">
        <f t="shared" si="45"/>
        <v>0</v>
      </c>
      <c r="T65" s="524" t="str">
        <f t="shared" si="8"/>
        <v/>
      </c>
      <c r="U65" s="11"/>
      <c r="V65" s="12"/>
      <c r="W65" s="10"/>
      <c r="X65" s="10"/>
      <c r="Y65" s="10">
        <v>33</v>
      </c>
      <c r="Z65" s="71" t="str">
        <f t="shared" si="9"/>
        <v>-</v>
      </c>
      <c r="AA65" s="71">
        <f t="shared" si="46"/>
        <v>0</v>
      </c>
      <c r="AB65" s="10"/>
      <c r="AC65" s="134">
        <f t="shared" si="47"/>
        <v>0</v>
      </c>
      <c r="AD65" s="135">
        <f>IF(SUM(AC65:AC$112)=0,0,COUNTA(F65:G65)&gt;0)</f>
        <v>0</v>
      </c>
      <c r="AE65" s="134">
        <f t="shared" si="48"/>
        <v>0</v>
      </c>
      <c r="AF65" s="475">
        <f>IF(SUM(AC65:AC$112)=0,0,AND(AD65=FALSE,AE65=0,SUM(AE66:AE$112)&gt;0))</f>
        <v>0</v>
      </c>
      <c r="AG65" s="152">
        <f t="shared" si="10"/>
        <v>0</v>
      </c>
      <c r="AH65" s="135">
        <f t="shared" si="11"/>
        <v>0</v>
      </c>
      <c r="AI65" s="135">
        <f t="shared" si="12"/>
        <v>0</v>
      </c>
      <c r="AJ65" s="135">
        <f t="shared" si="13"/>
        <v>0</v>
      </c>
      <c r="AK65" s="183">
        <f t="shared" si="14"/>
        <v>0</v>
      </c>
      <c r="AL65" s="135">
        <f t="shared" si="15"/>
        <v>0</v>
      </c>
      <c r="AM65" s="151">
        <f t="shared" si="16"/>
        <v>0</v>
      </c>
      <c r="AN65" s="152">
        <f t="shared" si="17"/>
        <v>0</v>
      </c>
      <c r="AO65" s="135">
        <f t="shared" si="18"/>
        <v>0</v>
      </c>
      <c r="AP65" s="146">
        <f t="shared" si="49"/>
        <v>0</v>
      </c>
      <c r="AQ65" s="152">
        <f t="shared" si="50"/>
        <v>0</v>
      </c>
      <c r="AR65" s="151">
        <f t="shared" si="51"/>
        <v>0</v>
      </c>
      <c r="AS65" s="152">
        <f t="shared" si="19"/>
        <v>0</v>
      </c>
      <c r="AT65" s="135">
        <f t="shared" si="20"/>
        <v>0</v>
      </c>
      <c r="AU65" s="151">
        <f t="shared" si="21"/>
        <v>0</v>
      </c>
      <c r="AV65" s="152">
        <f t="shared" si="22"/>
        <v>0</v>
      </c>
      <c r="AW65" s="135">
        <f t="shared" si="52"/>
        <v>0</v>
      </c>
      <c r="AX65" s="134">
        <f t="shared" si="53"/>
        <v>0</v>
      </c>
      <c r="AY65" s="498" t="str">
        <f t="shared" si="54"/>
        <v/>
      </c>
      <c r="AZ65" s="152">
        <f t="shared" si="23"/>
        <v>0</v>
      </c>
      <c r="BA65" s="135">
        <f t="shared" si="24"/>
        <v>0</v>
      </c>
      <c r="BB65" s="151">
        <f t="shared" si="55"/>
        <v>0</v>
      </c>
      <c r="BC65" s="301" t="b">
        <f t="shared" si="25"/>
        <v>0</v>
      </c>
      <c r="BD65" s="109"/>
      <c r="BE65" s="313">
        <f t="shared" si="56"/>
        <v>0</v>
      </c>
      <c r="BF65" s="314">
        <f t="shared" si="26"/>
        <v>0</v>
      </c>
      <c r="BG65" s="314">
        <f t="shared" si="57"/>
        <v>0</v>
      </c>
      <c r="BH65" s="315">
        <f t="shared" si="27"/>
        <v>0</v>
      </c>
      <c r="BI65" s="308">
        <f t="shared" si="28"/>
        <v>0</v>
      </c>
      <c r="BJ65" s="308">
        <f t="shared" si="58"/>
        <v>0</v>
      </c>
      <c r="BK65" s="170">
        <f t="shared" si="29"/>
        <v>0</v>
      </c>
      <c r="BL65" s="324">
        <f t="shared" si="30"/>
        <v>0</v>
      </c>
      <c r="BM65" s="324">
        <f t="shared" si="31"/>
        <v>0</v>
      </c>
      <c r="BN65" s="324">
        <f t="shared" si="59"/>
        <v>0</v>
      </c>
      <c r="BO65" s="325">
        <f t="shared" si="60"/>
        <v>0</v>
      </c>
      <c r="BP65" s="326">
        <f t="shared" si="32"/>
        <v>0</v>
      </c>
      <c r="BQ65" s="324">
        <f t="shared" si="33"/>
        <v>0</v>
      </c>
      <c r="BR65" s="324">
        <f t="shared" si="61"/>
        <v>0</v>
      </c>
      <c r="BS65" s="325">
        <f t="shared" si="62"/>
        <v>0</v>
      </c>
      <c r="BT65" s="10"/>
      <c r="BU65" s="288">
        <f t="shared" si="34"/>
        <v>0</v>
      </c>
      <c r="BV65" s="289">
        <f t="shared" si="63"/>
        <v>0</v>
      </c>
      <c r="BW65" s="134">
        <f t="shared" si="35"/>
        <v>0</v>
      </c>
      <c r="BX65" s="294">
        <f t="shared" si="36"/>
        <v>0</v>
      </c>
      <c r="BY65" s="295">
        <f t="shared" si="37"/>
        <v>0</v>
      </c>
      <c r="BZ65" s="10"/>
      <c r="CA65" s="190">
        <f t="shared" si="38"/>
        <v>0</v>
      </c>
      <c r="CB65" s="191">
        <f t="shared" si="39"/>
        <v>0</v>
      </c>
      <c r="CC65" s="99">
        <f t="shared" si="64"/>
        <v>0</v>
      </c>
      <c r="CD65" s="299" t="str">
        <f t="shared" si="40"/>
        <v/>
      </c>
      <c r="CE65" s="305"/>
      <c r="CF65" s="10"/>
      <c r="CG65" s="10"/>
      <c r="CH65" s="10"/>
      <c r="CI65" s="10"/>
      <c r="CJ65" s="10"/>
      <c r="CK65" s="10"/>
      <c r="CL65" s="10"/>
      <c r="CM65" s="10"/>
      <c r="CN65" s="10"/>
      <c r="CO65" s="10"/>
      <c r="CP65" s="10"/>
      <c r="CQ65" s="10"/>
      <c r="CR65" s="10"/>
      <c r="CS65" s="10"/>
      <c r="CT65" s="10"/>
      <c r="CU65" s="10"/>
    </row>
    <row r="66" spans="1:99" ht="13.5" hidden="1" thickBot="1" x14ac:dyDescent="0.25">
      <c r="A66" s="11"/>
      <c r="B66" s="522" t="str">
        <f t="shared" si="41"/>
        <v>-</v>
      </c>
      <c r="C66" s="566">
        <v>34</v>
      </c>
      <c r="D66" s="616"/>
      <c r="E66" s="617"/>
      <c r="F66" s="515"/>
      <c r="G66" s="516"/>
      <c r="H66" s="581"/>
      <c r="I66" s="581"/>
      <c r="J66" s="569"/>
      <c r="K66" s="586"/>
      <c r="L66" s="587"/>
      <c r="M66" s="588"/>
      <c r="N66" s="589"/>
      <c r="O66" s="452" t="str">
        <f t="shared" si="42"/>
        <v/>
      </c>
      <c r="P66" s="453" t="str">
        <f t="shared" si="7"/>
        <v/>
      </c>
      <c r="Q66" s="499">
        <f t="shared" si="43"/>
        <v>0</v>
      </c>
      <c r="R66" s="500">
        <f t="shared" si="44"/>
        <v>0</v>
      </c>
      <c r="S66" s="454">
        <f t="shared" si="45"/>
        <v>0</v>
      </c>
      <c r="T66" s="524" t="str">
        <f t="shared" si="8"/>
        <v/>
      </c>
      <c r="U66" s="11"/>
      <c r="V66" s="12"/>
      <c r="W66" s="10"/>
      <c r="X66" s="10"/>
      <c r="Y66" s="10">
        <v>34</v>
      </c>
      <c r="Z66" s="71" t="str">
        <f t="shared" si="9"/>
        <v>-</v>
      </c>
      <c r="AA66" s="71">
        <f t="shared" si="46"/>
        <v>0</v>
      </c>
      <c r="AB66" s="10"/>
      <c r="AC66" s="134">
        <f t="shared" si="47"/>
        <v>0</v>
      </c>
      <c r="AD66" s="135">
        <f>IF(SUM(AC66:AC$112)=0,0,COUNTA(F66:G66)&gt;0)</f>
        <v>0</v>
      </c>
      <c r="AE66" s="134">
        <f t="shared" si="48"/>
        <v>0</v>
      </c>
      <c r="AF66" s="475">
        <f>IF(SUM(AC66:AC$112)=0,0,AND(AD66=FALSE,AE66=0,SUM(AE67:AE$112)&gt;0))</f>
        <v>0</v>
      </c>
      <c r="AG66" s="152">
        <f t="shared" si="10"/>
        <v>0</v>
      </c>
      <c r="AH66" s="135">
        <f t="shared" si="11"/>
        <v>0</v>
      </c>
      <c r="AI66" s="135">
        <f t="shared" si="12"/>
        <v>0</v>
      </c>
      <c r="AJ66" s="135">
        <f t="shared" si="13"/>
        <v>0</v>
      </c>
      <c r="AK66" s="183">
        <f t="shared" si="14"/>
        <v>0</v>
      </c>
      <c r="AL66" s="135">
        <f t="shared" si="15"/>
        <v>0</v>
      </c>
      <c r="AM66" s="151">
        <f t="shared" si="16"/>
        <v>0</v>
      </c>
      <c r="AN66" s="152">
        <f t="shared" si="17"/>
        <v>0</v>
      </c>
      <c r="AO66" s="135">
        <f t="shared" si="18"/>
        <v>0</v>
      </c>
      <c r="AP66" s="146">
        <f t="shared" si="49"/>
        <v>0</v>
      </c>
      <c r="AQ66" s="152">
        <f t="shared" si="50"/>
        <v>0</v>
      </c>
      <c r="AR66" s="151">
        <f t="shared" si="51"/>
        <v>0</v>
      </c>
      <c r="AS66" s="152">
        <f t="shared" si="19"/>
        <v>0</v>
      </c>
      <c r="AT66" s="135">
        <f t="shared" si="20"/>
        <v>0</v>
      </c>
      <c r="AU66" s="151">
        <f t="shared" si="21"/>
        <v>0</v>
      </c>
      <c r="AV66" s="152">
        <f t="shared" si="22"/>
        <v>0</v>
      </c>
      <c r="AW66" s="135">
        <f t="shared" si="52"/>
        <v>0</v>
      </c>
      <c r="AX66" s="134">
        <f t="shared" si="53"/>
        <v>0</v>
      </c>
      <c r="AY66" s="498" t="str">
        <f t="shared" si="54"/>
        <v/>
      </c>
      <c r="AZ66" s="152">
        <f t="shared" si="23"/>
        <v>0</v>
      </c>
      <c r="BA66" s="135">
        <f t="shared" si="24"/>
        <v>0</v>
      </c>
      <c r="BB66" s="151">
        <f t="shared" si="55"/>
        <v>0</v>
      </c>
      <c r="BC66" s="301" t="b">
        <f t="shared" si="25"/>
        <v>0</v>
      </c>
      <c r="BD66" s="109"/>
      <c r="BE66" s="313">
        <f t="shared" si="56"/>
        <v>0</v>
      </c>
      <c r="BF66" s="314">
        <f t="shared" si="26"/>
        <v>0</v>
      </c>
      <c r="BG66" s="314">
        <f t="shared" si="57"/>
        <v>0</v>
      </c>
      <c r="BH66" s="315">
        <f t="shared" si="27"/>
        <v>0</v>
      </c>
      <c r="BI66" s="308">
        <f t="shared" si="28"/>
        <v>0</v>
      </c>
      <c r="BJ66" s="308">
        <f t="shared" si="58"/>
        <v>0</v>
      </c>
      <c r="BK66" s="170">
        <f t="shared" si="29"/>
        <v>0</v>
      </c>
      <c r="BL66" s="324">
        <f t="shared" si="30"/>
        <v>0</v>
      </c>
      <c r="BM66" s="324">
        <f t="shared" si="31"/>
        <v>0</v>
      </c>
      <c r="BN66" s="324">
        <f t="shared" si="59"/>
        <v>0</v>
      </c>
      <c r="BO66" s="325">
        <f t="shared" si="60"/>
        <v>0</v>
      </c>
      <c r="BP66" s="326">
        <f t="shared" si="32"/>
        <v>0</v>
      </c>
      <c r="BQ66" s="324">
        <f t="shared" si="33"/>
        <v>0</v>
      </c>
      <c r="BR66" s="324">
        <f t="shared" si="61"/>
        <v>0</v>
      </c>
      <c r="BS66" s="325">
        <f t="shared" si="62"/>
        <v>0</v>
      </c>
      <c r="BT66" s="10"/>
      <c r="BU66" s="288">
        <f t="shared" si="34"/>
        <v>0</v>
      </c>
      <c r="BV66" s="289">
        <f t="shared" si="63"/>
        <v>0</v>
      </c>
      <c r="BW66" s="134">
        <f t="shared" si="35"/>
        <v>0</v>
      </c>
      <c r="BX66" s="294">
        <f t="shared" si="36"/>
        <v>0</v>
      </c>
      <c r="BY66" s="295">
        <f t="shared" si="37"/>
        <v>0</v>
      </c>
      <c r="BZ66" s="10"/>
      <c r="CA66" s="190">
        <f t="shared" si="38"/>
        <v>0</v>
      </c>
      <c r="CB66" s="191">
        <f t="shared" si="39"/>
        <v>0</v>
      </c>
      <c r="CC66" s="99">
        <f t="shared" si="64"/>
        <v>0</v>
      </c>
      <c r="CD66" s="299" t="str">
        <f t="shared" si="40"/>
        <v/>
      </c>
      <c r="CE66" s="305"/>
      <c r="CF66" s="10"/>
      <c r="CG66" s="10"/>
      <c r="CH66" s="10"/>
      <c r="CI66" s="10"/>
      <c r="CJ66" s="10"/>
      <c r="CK66" s="10"/>
      <c r="CL66" s="10"/>
      <c r="CM66" s="10"/>
      <c r="CN66" s="10"/>
      <c r="CO66" s="10"/>
      <c r="CP66" s="10"/>
      <c r="CQ66" s="10"/>
      <c r="CR66" s="10"/>
      <c r="CS66" s="10"/>
      <c r="CT66" s="10"/>
      <c r="CU66" s="10"/>
    </row>
    <row r="67" spans="1:99" ht="13.5" hidden="1" thickBot="1" x14ac:dyDescent="0.25">
      <c r="A67" s="11"/>
      <c r="B67" s="522" t="str">
        <f t="shared" si="41"/>
        <v>-</v>
      </c>
      <c r="C67" s="566">
        <v>35</v>
      </c>
      <c r="D67" s="616"/>
      <c r="E67" s="617"/>
      <c r="F67" s="515"/>
      <c r="G67" s="516"/>
      <c r="H67" s="581"/>
      <c r="I67" s="581"/>
      <c r="J67" s="569"/>
      <c r="K67" s="586"/>
      <c r="L67" s="587"/>
      <c r="M67" s="588"/>
      <c r="N67" s="589"/>
      <c r="O67" s="452" t="str">
        <f t="shared" si="42"/>
        <v/>
      </c>
      <c r="P67" s="453" t="str">
        <f t="shared" si="7"/>
        <v/>
      </c>
      <c r="Q67" s="499">
        <f t="shared" si="43"/>
        <v>0</v>
      </c>
      <c r="R67" s="500">
        <f t="shared" si="44"/>
        <v>0</v>
      </c>
      <c r="S67" s="454">
        <f t="shared" si="45"/>
        <v>0</v>
      </c>
      <c r="T67" s="524" t="str">
        <f t="shared" si="8"/>
        <v/>
      </c>
      <c r="U67" s="11"/>
      <c r="V67" s="12"/>
      <c r="W67" s="10"/>
      <c r="X67" s="10"/>
      <c r="Y67" s="10">
        <v>35</v>
      </c>
      <c r="Z67" s="71" t="str">
        <f t="shared" si="9"/>
        <v>-</v>
      </c>
      <c r="AA67" s="71">
        <f t="shared" si="46"/>
        <v>0</v>
      </c>
      <c r="AB67" s="10"/>
      <c r="AC67" s="134">
        <f t="shared" si="47"/>
        <v>0</v>
      </c>
      <c r="AD67" s="135">
        <f>IF(SUM(AC67:AC$112)=0,0,COUNTA(F67:G67)&gt;0)</f>
        <v>0</v>
      </c>
      <c r="AE67" s="134">
        <f t="shared" si="48"/>
        <v>0</v>
      </c>
      <c r="AF67" s="475">
        <f>IF(SUM(AC67:AC$112)=0,0,AND(AD67=FALSE,AE67=0,SUM(AE68:AE$112)&gt;0))</f>
        <v>0</v>
      </c>
      <c r="AG67" s="152">
        <f t="shared" si="10"/>
        <v>0</v>
      </c>
      <c r="AH67" s="135">
        <f t="shared" si="11"/>
        <v>0</v>
      </c>
      <c r="AI67" s="135">
        <f t="shared" si="12"/>
        <v>0</v>
      </c>
      <c r="AJ67" s="135">
        <f t="shared" si="13"/>
        <v>0</v>
      </c>
      <c r="AK67" s="183">
        <f t="shared" si="14"/>
        <v>0</v>
      </c>
      <c r="AL67" s="135">
        <f t="shared" si="15"/>
        <v>0</v>
      </c>
      <c r="AM67" s="151">
        <f t="shared" si="16"/>
        <v>0</v>
      </c>
      <c r="AN67" s="152">
        <f t="shared" si="17"/>
        <v>0</v>
      </c>
      <c r="AO67" s="135">
        <f t="shared" si="18"/>
        <v>0</v>
      </c>
      <c r="AP67" s="146">
        <f t="shared" si="49"/>
        <v>0</v>
      </c>
      <c r="AQ67" s="152">
        <f t="shared" si="50"/>
        <v>0</v>
      </c>
      <c r="AR67" s="151">
        <f t="shared" si="51"/>
        <v>0</v>
      </c>
      <c r="AS67" s="152">
        <f t="shared" si="19"/>
        <v>0</v>
      </c>
      <c r="AT67" s="135">
        <f t="shared" si="20"/>
        <v>0</v>
      </c>
      <c r="AU67" s="151">
        <f t="shared" si="21"/>
        <v>0</v>
      </c>
      <c r="AV67" s="152">
        <f t="shared" si="22"/>
        <v>0</v>
      </c>
      <c r="AW67" s="135">
        <f t="shared" si="52"/>
        <v>0</v>
      </c>
      <c r="AX67" s="134">
        <f t="shared" si="53"/>
        <v>0</v>
      </c>
      <c r="AY67" s="498" t="str">
        <f t="shared" si="54"/>
        <v/>
      </c>
      <c r="AZ67" s="152">
        <f t="shared" si="23"/>
        <v>0</v>
      </c>
      <c r="BA67" s="135">
        <f t="shared" si="24"/>
        <v>0</v>
      </c>
      <c r="BB67" s="151">
        <f t="shared" si="55"/>
        <v>0</v>
      </c>
      <c r="BC67" s="301" t="b">
        <f t="shared" si="25"/>
        <v>0</v>
      </c>
      <c r="BD67" s="109"/>
      <c r="BE67" s="313">
        <f t="shared" si="56"/>
        <v>0</v>
      </c>
      <c r="BF67" s="314">
        <f t="shared" si="26"/>
        <v>0</v>
      </c>
      <c r="BG67" s="314">
        <f t="shared" si="57"/>
        <v>0</v>
      </c>
      <c r="BH67" s="315">
        <f t="shared" si="27"/>
        <v>0</v>
      </c>
      <c r="BI67" s="308">
        <f t="shared" si="28"/>
        <v>0</v>
      </c>
      <c r="BJ67" s="308">
        <f t="shared" si="58"/>
        <v>0</v>
      </c>
      <c r="BK67" s="170">
        <f t="shared" si="29"/>
        <v>0</v>
      </c>
      <c r="BL67" s="324">
        <f t="shared" si="30"/>
        <v>0</v>
      </c>
      <c r="BM67" s="324">
        <f t="shared" si="31"/>
        <v>0</v>
      </c>
      <c r="BN67" s="324">
        <f t="shared" si="59"/>
        <v>0</v>
      </c>
      <c r="BO67" s="325">
        <f t="shared" si="60"/>
        <v>0</v>
      </c>
      <c r="BP67" s="326">
        <f t="shared" si="32"/>
        <v>0</v>
      </c>
      <c r="BQ67" s="324">
        <f t="shared" si="33"/>
        <v>0</v>
      </c>
      <c r="BR67" s="324">
        <f t="shared" si="61"/>
        <v>0</v>
      </c>
      <c r="BS67" s="325">
        <f t="shared" si="62"/>
        <v>0</v>
      </c>
      <c r="BT67" s="10"/>
      <c r="BU67" s="288">
        <f t="shared" si="34"/>
        <v>0</v>
      </c>
      <c r="BV67" s="289">
        <f t="shared" si="63"/>
        <v>0</v>
      </c>
      <c r="BW67" s="134">
        <f t="shared" si="35"/>
        <v>0</v>
      </c>
      <c r="BX67" s="294">
        <f t="shared" si="36"/>
        <v>0</v>
      </c>
      <c r="BY67" s="295">
        <f t="shared" si="37"/>
        <v>0</v>
      </c>
      <c r="BZ67" s="10"/>
      <c r="CA67" s="190">
        <f t="shared" si="38"/>
        <v>0</v>
      </c>
      <c r="CB67" s="191">
        <f t="shared" si="39"/>
        <v>0</v>
      </c>
      <c r="CC67" s="99">
        <f t="shared" si="64"/>
        <v>0</v>
      </c>
      <c r="CD67" s="299" t="str">
        <f t="shared" si="40"/>
        <v/>
      </c>
      <c r="CE67" s="305"/>
      <c r="CF67" s="10"/>
      <c r="CG67" s="10"/>
      <c r="CH67" s="10"/>
      <c r="CI67" s="10"/>
      <c r="CJ67" s="10"/>
      <c r="CK67" s="10"/>
      <c r="CL67" s="10"/>
      <c r="CM67" s="10"/>
      <c r="CN67" s="10"/>
      <c r="CO67" s="10"/>
      <c r="CP67" s="10"/>
      <c r="CQ67" s="10"/>
      <c r="CR67" s="10"/>
      <c r="CS67" s="10"/>
      <c r="CT67" s="10"/>
      <c r="CU67" s="10"/>
    </row>
    <row r="68" spans="1:99" ht="13.5" hidden="1" thickBot="1" x14ac:dyDescent="0.25">
      <c r="A68" s="11"/>
      <c r="B68" s="522" t="str">
        <f t="shared" si="41"/>
        <v>-</v>
      </c>
      <c r="C68" s="566">
        <v>36</v>
      </c>
      <c r="D68" s="616"/>
      <c r="E68" s="617"/>
      <c r="F68" s="515"/>
      <c r="G68" s="516"/>
      <c r="H68" s="581"/>
      <c r="I68" s="581"/>
      <c r="J68" s="569"/>
      <c r="K68" s="586"/>
      <c r="L68" s="587"/>
      <c r="M68" s="588"/>
      <c r="N68" s="589"/>
      <c r="O68" s="452" t="str">
        <f t="shared" si="42"/>
        <v/>
      </c>
      <c r="P68" s="453" t="str">
        <f t="shared" si="7"/>
        <v/>
      </c>
      <c r="Q68" s="499">
        <f t="shared" si="43"/>
        <v>0</v>
      </c>
      <c r="R68" s="500">
        <f t="shared" si="44"/>
        <v>0</v>
      </c>
      <c r="S68" s="454">
        <f t="shared" si="45"/>
        <v>0</v>
      </c>
      <c r="T68" s="524" t="str">
        <f t="shared" si="8"/>
        <v/>
      </c>
      <c r="U68" s="11"/>
      <c r="V68" s="12"/>
      <c r="W68" s="10"/>
      <c r="X68" s="10"/>
      <c r="Y68" s="10">
        <v>36</v>
      </c>
      <c r="Z68" s="71" t="str">
        <f t="shared" si="9"/>
        <v>-</v>
      </c>
      <c r="AA68" s="71">
        <f t="shared" si="46"/>
        <v>0</v>
      </c>
      <c r="AB68" s="10"/>
      <c r="AC68" s="134">
        <f t="shared" si="47"/>
        <v>0</v>
      </c>
      <c r="AD68" s="135">
        <f>IF(SUM(AC68:AC$112)=0,0,COUNTA(F68:G68)&gt;0)</f>
        <v>0</v>
      </c>
      <c r="AE68" s="134">
        <f t="shared" si="48"/>
        <v>0</v>
      </c>
      <c r="AF68" s="475">
        <f>IF(SUM(AC68:AC$112)=0,0,AND(AD68=FALSE,AE68=0,SUM(AE69:AE$112)&gt;0))</f>
        <v>0</v>
      </c>
      <c r="AG68" s="152">
        <f t="shared" si="10"/>
        <v>0</v>
      </c>
      <c r="AH68" s="135">
        <f t="shared" si="11"/>
        <v>0</v>
      </c>
      <c r="AI68" s="135">
        <f t="shared" si="12"/>
        <v>0</v>
      </c>
      <c r="AJ68" s="135">
        <f t="shared" si="13"/>
        <v>0</v>
      </c>
      <c r="AK68" s="183">
        <f t="shared" si="14"/>
        <v>0</v>
      </c>
      <c r="AL68" s="135">
        <f t="shared" si="15"/>
        <v>0</v>
      </c>
      <c r="AM68" s="151">
        <f t="shared" si="16"/>
        <v>0</v>
      </c>
      <c r="AN68" s="152">
        <f t="shared" si="17"/>
        <v>0</v>
      </c>
      <c r="AO68" s="135">
        <f t="shared" si="18"/>
        <v>0</v>
      </c>
      <c r="AP68" s="146">
        <f t="shared" si="49"/>
        <v>0</v>
      </c>
      <c r="AQ68" s="152">
        <f t="shared" si="50"/>
        <v>0</v>
      </c>
      <c r="AR68" s="151">
        <f t="shared" si="51"/>
        <v>0</v>
      </c>
      <c r="AS68" s="152">
        <f t="shared" si="19"/>
        <v>0</v>
      </c>
      <c r="AT68" s="135">
        <f t="shared" si="20"/>
        <v>0</v>
      </c>
      <c r="AU68" s="151">
        <f t="shared" si="21"/>
        <v>0</v>
      </c>
      <c r="AV68" s="152">
        <f t="shared" si="22"/>
        <v>0</v>
      </c>
      <c r="AW68" s="135">
        <f t="shared" si="52"/>
        <v>0</v>
      </c>
      <c r="AX68" s="134">
        <f t="shared" si="53"/>
        <v>0</v>
      </c>
      <c r="AY68" s="498" t="str">
        <f t="shared" si="54"/>
        <v/>
      </c>
      <c r="AZ68" s="152">
        <f t="shared" si="23"/>
        <v>0</v>
      </c>
      <c r="BA68" s="135">
        <f t="shared" si="24"/>
        <v>0</v>
      </c>
      <c r="BB68" s="151">
        <f t="shared" si="55"/>
        <v>0</v>
      </c>
      <c r="BC68" s="301" t="b">
        <f t="shared" si="25"/>
        <v>0</v>
      </c>
      <c r="BD68" s="109"/>
      <c r="BE68" s="313">
        <f t="shared" si="56"/>
        <v>0</v>
      </c>
      <c r="BF68" s="314">
        <f t="shared" si="26"/>
        <v>0</v>
      </c>
      <c r="BG68" s="314">
        <f t="shared" si="57"/>
        <v>0</v>
      </c>
      <c r="BH68" s="315">
        <f t="shared" si="27"/>
        <v>0</v>
      </c>
      <c r="BI68" s="308">
        <f t="shared" si="28"/>
        <v>0</v>
      </c>
      <c r="BJ68" s="308">
        <f t="shared" si="58"/>
        <v>0</v>
      </c>
      <c r="BK68" s="170">
        <f t="shared" si="29"/>
        <v>0</v>
      </c>
      <c r="BL68" s="324">
        <f t="shared" si="30"/>
        <v>0</v>
      </c>
      <c r="BM68" s="324">
        <f t="shared" si="31"/>
        <v>0</v>
      </c>
      <c r="BN68" s="324">
        <f t="shared" si="59"/>
        <v>0</v>
      </c>
      <c r="BO68" s="325">
        <f t="shared" si="60"/>
        <v>0</v>
      </c>
      <c r="BP68" s="326">
        <f t="shared" si="32"/>
        <v>0</v>
      </c>
      <c r="BQ68" s="324">
        <f t="shared" si="33"/>
        <v>0</v>
      </c>
      <c r="BR68" s="324">
        <f t="shared" si="61"/>
        <v>0</v>
      </c>
      <c r="BS68" s="325">
        <f t="shared" si="62"/>
        <v>0</v>
      </c>
      <c r="BT68" s="10"/>
      <c r="BU68" s="288">
        <f t="shared" si="34"/>
        <v>0</v>
      </c>
      <c r="BV68" s="289">
        <f t="shared" si="63"/>
        <v>0</v>
      </c>
      <c r="BW68" s="134">
        <f t="shared" si="35"/>
        <v>0</v>
      </c>
      <c r="BX68" s="294">
        <f t="shared" si="36"/>
        <v>0</v>
      </c>
      <c r="BY68" s="295">
        <f t="shared" si="37"/>
        <v>0</v>
      </c>
      <c r="BZ68" s="10"/>
      <c r="CA68" s="190">
        <f t="shared" si="38"/>
        <v>0</v>
      </c>
      <c r="CB68" s="191">
        <f t="shared" si="39"/>
        <v>0</v>
      </c>
      <c r="CC68" s="99">
        <f t="shared" si="64"/>
        <v>0</v>
      </c>
      <c r="CD68" s="299" t="str">
        <f t="shared" si="40"/>
        <v/>
      </c>
      <c r="CE68" s="305"/>
      <c r="CF68" s="10"/>
      <c r="CG68" s="10"/>
      <c r="CH68" s="10"/>
      <c r="CI68" s="10"/>
      <c r="CJ68" s="10"/>
      <c r="CK68" s="10"/>
      <c r="CL68" s="10"/>
      <c r="CM68" s="10"/>
      <c r="CN68" s="10"/>
      <c r="CO68" s="10"/>
      <c r="CP68" s="10"/>
      <c r="CQ68" s="10"/>
      <c r="CR68" s="10"/>
      <c r="CS68" s="10"/>
      <c r="CT68" s="10"/>
      <c r="CU68" s="10"/>
    </row>
    <row r="69" spans="1:99" ht="13.5" hidden="1" thickBot="1" x14ac:dyDescent="0.25">
      <c r="A69" s="11"/>
      <c r="B69" s="522" t="str">
        <f t="shared" si="41"/>
        <v>-</v>
      </c>
      <c r="C69" s="566">
        <v>37</v>
      </c>
      <c r="D69" s="616"/>
      <c r="E69" s="617"/>
      <c r="F69" s="515"/>
      <c r="G69" s="516"/>
      <c r="H69" s="581"/>
      <c r="I69" s="581"/>
      <c r="J69" s="569"/>
      <c r="K69" s="586"/>
      <c r="L69" s="587"/>
      <c r="M69" s="588"/>
      <c r="N69" s="589"/>
      <c r="O69" s="452" t="str">
        <f t="shared" si="42"/>
        <v/>
      </c>
      <c r="P69" s="453" t="str">
        <f t="shared" si="7"/>
        <v/>
      </c>
      <c r="Q69" s="499">
        <f t="shared" si="43"/>
        <v>0</v>
      </c>
      <c r="R69" s="500">
        <f t="shared" si="44"/>
        <v>0</v>
      </c>
      <c r="S69" s="454">
        <f t="shared" si="45"/>
        <v>0</v>
      </c>
      <c r="T69" s="524" t="str">
        <f t="shared" si="8"/>
        <v/>
      </c>
      <c r="U69" s="11"/>
      <c r="V69" s="12"/>
      <c r="W69" s="10"/>
      <c r="X69" s="10"/>
      <c r="Y69" s="10">
        <v>37</v>
      </c>
      <c r="Z69" s="71" t="str">
        <f t="shared" si="9"/>
        <v>-</v>
      </c>
      <c r="AA69" s="71">
        <f t="shared" si="46"/>
        <v>0</v>
      </c>
      <c r="AB69" s="10"/>
      <c r="AC69" s="134">
        <f t="shared" si="47"/>
        <v>0</v>
      </c>
      <c r="AD69" s="135">
        <f>IF(SUM(AC69:AC$112)=0,0,COUNTA(F69:G69)&gt;0)</f>
        <v>0</v>
      </c>
      <c r="AE69" s="134">
        <f t="shared" si="48"/>
        <v>0</v>
      </c>
      <c r="AF69" s="475">
        <f>IF(SUM(AC69:AC$112)=0,0,AND(AD69=FALSE,AE69=0,SUM(AE70:AE$112)&gt;0))</f>
        <v>0</v>
      </c>
      <c r="AG69" s="152">
        <f t="shared" si="10"/>
        <v>0</v>
      </c>
      <c r="AH69" s="135">
        <f t="shared" si="11"/>
        <v>0</v>
      </c>
      <c r="AI69" s="135">
        <f t="shared" si="12"/>
        <v>0</v>
      </c>
      <c r="AJ69" s="135">
        <f t="shared" si="13"/>
        <v>0</v>
      </c>
      <c r="AK69" s="183">
        <f t="shared" si="14"/>
        <v>0</v>
      </c>
      <c r="AL69" s="135">
        <f t="shared" si="15"/>
        <v>0</v>
      </c>
      <c r="AM69" s="151">
        <f t="shared" si="16"/>
        <v>0</v>
      </c>
      <c r="AN69" s="152">
        <f t="shared" si="17"/>
        <v>0</v>
      </c>
      <c r="AO69" s="135">
        <f t="shared" si="18"/>
        <v>0</v>
      </c>
      <c r="AP69" s="146">
        <f t="shared" si="49"/>
        <v>0</v>
      </c>
      <c r="AQ69" s="152">
        <f t="shared" si="50"/>
        <v>0</v>
      </c>
      <c r="AR69" s="151">
        <f t="shared" si="51"/>
        <v>0</v>
      </c>
      <c r="AS69" s="152">
        <f t="shared" si="19"/>
        <v>0</v>
      </c>
      <c r="AT69" s="135">
        <f t="shared" si="20"/>
        <v>0</v>
      </c>
      <c r="AU69" s="151">
        <f t="shared" si="21"/>
        <v>0</v>
      </c>
      <c r="AV69" s="152">
        <f t="shared" si="22"/>
        <v>0</v>
      </c>
      <c r="AW69" s="135">
        <f t="shared" si="52"/>
        <v>0</v>
      </c>
      <c r="AX69" s="134">
        <f t="shared" si="53"/>
        <v>0</v>
      </c>
      <c r="AY69" s="498" t="str">
        <f t="shared" si="54"/>
        <v/>
      </c>
      <c r="AZ69" s="152">
        <f t="shared" si="23"/>
        <v>0</v>
      </c>
      <c r="BA69" s="135">
        <f t="shared" si="24"/>
        <v>0</v>
      </c>
      <c r="BB69" s="151">
        <f t="shared" si="55"/>
        <v>0</v>
      </c>
      <c r="BC69" s="301" t="b">
        <f t="shared" si="25"/>
        <v>0</v>
      </c>
      <c r="BD69" s="109"/>
      <c r="BE69" s="313">
        <f t="shared" si="56"/>
        <v>0</v>
      </c>
      <c r="BF69" s="314">
        <f t="shared" si="26"/>
        <v>0</v>
      </c>
      <c r="BG69" s="314">
        <f t="shared" si="57"/>
        <v>0</v>
      </c>
      <c r="BH69" s="315">
        <f t="shared" si="27"/>
        <v>0</v>
      </c>
      <c r="BI69" s="308">
        <f t="shared" si="28"/>
        <v>0</v>
      </c>
      <c r="BJ69" s="308">
        <f t="shared" si="58"/>
        <v>0</v>
      </c>
      <c r="BK69" s="170">
        <f t="shared" si="29"/>
        <v>0</v>
      </c>
      <c r="BL69" s="324">
        <f t="shared" si="30"/>
        <v>0</v>
      </c>
      <c r="BM69" s="324">
        <f t="shared" si="31"/>
        <v>0</v>
      </c>
      <c r="BN69" s="324">
        <f t="shared" si="59"/>
        <v>0</v>
      </c>
      <c r="BO69" s="325">
        <f t="shared" si="60"/>
        <v>0</v>
      </c>
      <c r="BP69" s="326">
        <f t="shared" si="32"/>
        <v>0</v>
      </c>
      <c r="BQ69" s="324">
        <f t="shared" si="33"/>
        <v>0</v>
      </c>
      <c r="BR69" s="324">
        <f t="shared" si="61"/>
        <v>0</v>
      </c>
      <c r="BS69" s="325">
        <f t="shared" si="62"/>
        <v>0</v>
      </c>
      <c r="BT69" s="10"/>
      <c r="BU69" s="288">
        <f t="shared" si="34"/>
        <v>0</v>
      </c>
      <c r="BV69" s="289">
        <f t="shared" si="63"/>
        <v>0</v>
      </c>
      <c r="BW69" s="134">
        <f t="shared" si="35"/>
        <v>0</v>
      </c>
      <c r="BX69" s="294">
        <f t="shared" si="36"/>
        <v>0</v>
      </c>
      <c r="BY69" s="295">
        <f t="shared" si="37"/>
        <v>0</v>
      </c>
      <c r="BZ69" s="10"/>
      <c r="CA69" s="190">
        <f t="shared" si="38"/>
        <v>0</v>
      </c>
      <c r="CB69" s="191">
        <f t="shared" si="39"/>
        <v>0</v>
      </c>
      <c r="CC69" s="99">
        <f t="shared" si="64"/>
        <v>0</v>
      </c>
      <c r="CD69" s="299" t="str">
        <f t="shared" si="40"/>
        <v/>
      </c>
      <c r="CE69" s="305"/>
      <c r="CF69" s="10"/>
      <c r="CG69" s="10"/>
      <c r="CH69" s="10"/>
      <c r="CI69" s="10"/>
      <c r="CJ69" s="10"/>
      <c r="CK69" s="10"/>
      <c r="CL69" s="10"/>
      <c r="CM69" s="10"/>
      <c r="CN69" s="10"/>
      <c r="CO69" s="10"/>
      <c r="CP69" s="10"/>
      <c r="CQ69" s="10"/>
      <c r="CR69" s="10"/>
      <c r="CS69" s="10"/>
      <c r="CT69" s="10"/>
      <c r="CU69" s="10"/>
    </row>
    <row r="70" spans="1:99" ht="13.5" hidden="1" thickBot="1" x14ac:dyDescent="0.25">
      <c r="A70" s="11"/>
      <c r="B70" s="522" t="str">
        <f t="shared" si="41"/>
        <v>-</v>
      </c>
      <c r="C70" s="566">
        <v>38</v>
      </c>
      <c r="D70" s="616"/>
      <c r="E70" s="617"/>
      <c r="F70" s="515"/>
      <c r="G70" s="516"/>
      <c r="H70" s="581"/>
      <c r="I70" s="581"/>
      <c r="J70" s="569"/>
      <c r="K70" s="586"/>
      <c r="L70" s="587"/>
      <c r="M70" s="588"/>
      <c r="N70" s="589"/>
      <c r="O70" s="452" t="str">
        <f t="shared" si="42"/>
        <v/>
      </c>
      <c r="P70" s="453" t="str">
        <f t="shared" si="7"/>
        <v/>
      </c>
      <c r="Q70" s="499">
        <f t="shared" si="43"/>
        <v>0</v>
      </c>
      <c r="R70" s="500">
        <f t="shared" si="44"/>
        <v>0</v>
      </c>
      <c r="S70" s="454">
        <f t="shared" si="45"/>
        <v>0</v>
      </c>
      <c r="T70" s="524" t="str">
        <f t="shared" si="8"/>
        <v/>
      </c>
      <c r="U70" s="11"/>
      <c r="V70" s="12"/>
      <c r="W70" s="10"/>
      <c r="X70" s="10"/>
      <c r="Y70" s="10">
        <v>38</v>
      </c>
      <c r="Z70" s="71" t="str">
        <f t="shared" si="9"/>
        <v>-</v>
      </c>
      <c r="AA70" s="71">
        <f t="shared" si="46"/>
        <v>0</v>
      </c>
      <c r="AB70" s="10"/>
      <c r="AC70" s="134">
        <f t="shared" si="47"/>
        <v>0</v>
      </c>
      <c r="AD70" s="135">
        <f>IF(SUM(AC70:AC$112)=0,0,COUNTA(F70:G70)&gt;0)</f>
        <v>0</v>
      </c>
      <c r="AE70" s="134">
        <f t="shared" si="48"/>
        <v>0</v>
      </c>
      <c r="AF70" s="475">
        <f>IF(SUM(AC70:AC$112)=0,0,AND(AD70=FALSE,AE70=0,SUM(AE71:AE$112)&gt;0))</f>
        <v>0</v>
      </c>
      <c r="AG70" s="152">
        <f t="shared" si="10"/>
        <v>0</v>
      </c>
      <c r="AH70" s="135">
        <f t="shared" si="11"/>
        <v>0</v>
      </c>
      <c r="AI70" s="135">
        <f t="shared" si="12"/>
        <v>0</v>
      </c>
      <c r="AJ70" s="135">
        <f t="shared" si="13"/>
        <v>0</v>
      </c>
      <c r="AK70" s="183">
        <f t="shared" si="14"/>
        <v>0</v>
      </c>
      <c r="AL70" s="135">
        <f t="shared" si="15"/>
        <v>0</v>
      </c>
      <c r="AM70" s="151">
        <f t="shared" si="16"/>
        <v>0</v>
      </c>
      <c r="AN70" s="152">
        <f t="shared" si="17"/>
        <v>0</v>
      </c>
      <c r="AO70" s="135">
        <f t="shared" si="18"/>
        <v>0</v>
      </c>
      <c r="AP70" s="146">
        <f t="shared" si="49"/>
        <v>0</v>
      </c>
      <c r="AQ70" s="152">
        <f t="shared" si="50"/>
        <v>0</v>
      </c>
      <c r="AR70" s="151">
        <f t="shared" si="51"/>
        <v>0</v>
      </c>
      <c r="AS70" s="152">
        <f t="shared" si="19"/>
        <v>0</v>
      </c>
      <c r="AT70" s="135">
        <f t="shared" si="20"/>
        <v>0</v>
      </c>
      <c r="AU70" s="151">
        <f t="shared" si="21"/>
        <v>0</v>
      </c>
      <c r="AV70" s="152">
        <f t="shared" si="22"/>
        <v>0</v>
      </c>
      <c r="AW70" s="135">
        <f t="shared" si="52"/>
        <v>0</v>
      </c>
      <c r="AX70" s="134">
        <f t="shared" si="53"/>
        <v>0</v>
      </c>
      <c r="AY70" s="498" t="str">
        <f t="shared" si="54"/>
        <v/>
      </c>
      <c r="AZ70" s="152">
        <f t="shared" si="23"/>
        <v>0</v>
      </c>
      <c r="BA70" s="135">
        <f t="shared" si="24"/>
        <v>0</v>
      </c>
      <c r="BB70" s="151">
        <f t="shared" si="55"/>
        <v>0</v>
      </c>
      <c r="BC70" s="301" t="b">
        <f t="shared" si="25"/>
        <v>0</v>
      </c>
      <c r="BD70" s="109"/>
      <c r="BE70" s="313">
        <f t="shared" si="56"/>
        <v>0</v>
      </c>
      <c r="BF70" s="314">
        <f t="shared" si="26"/>
        <v>0</v>
      </c>
      <c r="BG70" s="314">
        <f t="shared" si="57"/>
        <v>0</v>
      </c>
      <c r="BH70" s="315">
        <f t="shared" si="27"/>
        <v>0</v>
      </c>
      <c r="BI70" s="308">
        <f t="shared" si="28"/>
        <v>0</v>
      </c>
      <c r="BJ70" s="308">
        <f t="shared" si="58"/>
        <v>0</v>
      </c>
      <c r="BK70" s="170">
        <f t="shared" si="29"/>
        <v>0</v>
      </c>
      <c r="BL70" s="324">
        <f t="shared" si="30"/>
        <v>0</v>
      </c>
      <c r="BM70" s="324">
        <f t="shared" si="31"/>
        <v>0</v>
      </c>
      <c r="BN70" s="324">
        <f t="shared" si="59"/>
        <v>0</v>
      </c>
      <c r="BO70" s="325">
        <f t="shared" si="60"/>
        <v>0</v>
      </c>
      <c r="BP70" s="326">
        <f t="shared" si="32"/>
        <v>0</v>
      </c>
      <c r="BQ70" s="324">
        <f t="shared" si="33"/>
        <v>0</v>
      </c>
      <c r="BR70" s="324">
        <f t="shared" si="61"/>
        <v>0</v>
      </c>
      <c r="BS70" s="325">
        <f t="shared" si="62"/>
        <v>0</v>
      </c>
      <c r="BT70" s="10"/>
      <c r="BU70" s="288">
        <f t="shared" si="34"/>
        <v>0</v>
      </c>
      <c r="BV70" s="289">
        <f t="shared" si="63"/>
        <v>0</v>
      </c>
      <c r="BW70" s="134">
        <f t="shared" si="35"/>
        <v>0</v>
      </c>
      <c r="BX70" s="294">
        <f t="shared" si="36"/>
        <v>0</v>
      </c>
      <c r="BY70" s="295">
        <f t="shared" si="37"/>
        <v>0</v>
      </c>
      <c r="BZ70" s="10"/>
      <c r="CA70" s="190">
        <f t="shared" si="38"/>
        <v>0</v>
      </c>
      <c r="CB70" s="191">
        <f t="shared" si="39"/>
        <v>0</v>
      </c>
      <c r="CC70" s="99">
        <f t="shared" si="64"/>
        <v>0</v>
      </c>
      <c r="CD70" s="299" t="str">
        <f t="shared" si="40"/>
        <v/>
      </c>
      <c r="CE70" s="305"/>
      <c r="CF70" s="10"/>
      <c r="CG70" s="10"/>
      <c r="CH70" s="10"/>
      <c r="CI70" s="10"/>
      <c r="CJ70" s="10"/>
      <c r="CK70" s="10"/>
      <c r="CL70" s="10"/>
      <c r="CM70" s="10"/>
      <c r="CN70" s="10"/>
      <c r="CO70" s="10"/>
      <c r="CP70" s="10"/>
      <c r="CQ70" s="10"/>
      <c r="CR70" s="10"/>
      <c r="CS70" s="10"/>
      <c r="CT70" s="10"/>
      <c r="CU70" s="10"/>
    </row>
    <row r="71" spans="1:99" ht="13.5" hidden="1" thickBot="1" x14ac:dyDescent="0.25">
      <c r="A71" s="11"/>
      <c r="B71" s="522" t="str">
        <f t="shared" si="41"/>
        <v>-</v>
      </c>
      <c r="C71" s="566">
        <v>39</v>
      </c>
      <c r="D71" s="616"/>
      <c r="E71" s="617"/>
      <c r="F71" s="515"/>
      <c r="G71" s="516"/>
      <c r="H71" s="581"/>
      <c r="I71" s="581"/>
      <c r="J71" s="569"/>
      <c r="K71" s="586"/>
      <c r="L71" s="587"/>
      <c r="M71" s="588"/>
      <c r="N71" s="589"/>
      <c r="O71" s="452" t="str">
        <f t="shared" si="42"/>
        <v/>
      </c>
      <c r="P71" s="453" t="str">
        <f t="shared" si="7"/>
        <v/>
      </c>
      <c r="Q71" s="499">
        <f t="shared" si="43"/>
        <v>0</v>
      </c>
      <c r="R71" s="500">
        <f t="shared" si="44"/>
        <v>0</v>
      </c>
      <c r="S71" s="454">
        <f t="shared" si="45"/>
        <v>0</v>
      </c>
      <c r="T71" s="524" t="str">
        <f t="shared" si="8"/>
        <v/>
      </c>
      <c r="U71" s="11"/>
      <c r="V71" s="12"/>
      <c r="W71" s="10"/>
      <c r="X71" s="10"/>
      <c r="Y71" s="10">
        <v>39</v>
      </c>
      <c r="Z71" s="71" t="str">
        <f t="shared" si="9"/>
        <v>-</v>
      </c>
      <c r="AA71" s="71">
        <f t="shared" si="46"/>
        <v>0</v>
      </c>
      <c r="AB71" s="10"/>
      <c r="AC71" s="134">
        <f t="shared" ref="AC71:AC111" si="65">COUNTA(D71:N71)</f>
        <v>0</v>
      </c>
      <c r="AD71" s="135">
        <f>IF(SUM(AC71:AC$112)=0,0,COUNTA(F71:G71)&gt;0)</f>
        <v>0</v>
      </c>
      <c r="AE71" s="134">
        <f t="shared" ref="AE71:AE111" si="66">COUNTA(H71:N71)</f>
        <v>0</v>
      </c>
      <c r="AF71" s="475">
        <f>IF(SUM(AC71:AC$112)=0,0,AND(AD71=FALSE,AE71=0,SUM(AE72:AE$112)&gt;0))</f>
        <v>0</v>
      </c>
      <c r="AG71" s="152">
        <f t="shared" ref="AG71:AG111" si="67">IF(AC71=0,0,AND(NumberActive&gt;0,OR(F71&gt;0,COUNTA(F71:G71)=0)))</f>
        <v>0</v>
      </c>
      <c r="AH71" s="135">
        <f t="shared" ref="AH71:AH111" si="68">IF(AC71=0,0,AND(NumberActiveLowR&gt;0,F71=0))</f>
        <v>0</v>
      </c>
      <c r="AI71" s="135">
        <f t="shared" ref="AI71:AI111" si="69">IF(AC71=0,0,AND(AD71=FALSE,AE71&gt;0))</f>
        <v>0</v>
      </c>
      <c r="AJ71" s="135">
        <f t="shared" ref="AJ71:AJ111" si="70">IF(AC71=0,0,AND(COUNTA(F71:G71)=2,AK71=FALSE))</f>
        <v>0</v>
      </c>
      <c r="AK71" s="183">
        <f t="shared" ref="AK71:AK111" si="71">IF(AC71=0,0,OR(F71="n/a",G71="n/a"))</f>
        <v>0</v>
      </c>
      <c r="AL71" s="135">
        <f t="shared" ref="AL71:AL111" si="72">IF(AC71=0,0,AND(COUNTA(F71)&gt;0,OR(ISERR(MATCH(F71,OrientationsA,0)),ISNA(MATCH(F71,OrientationsA,0)))))</f>
        <v>0</v>
      </c>
      <c r="AM71" s="151">
        <f t="shared" ref="AM71:AM111" si="73">IF(AC71=0,0,AND(COUNTA(G71)&gt;0,OR(ISERR(MATCH(G71,OrientationsB,0)),ISNA(MATCH(G71,OrientationsB,0)))))</f>
        <v>0</v>
      </c>
      <c r="AN71" s="152">
        <f t="shared" ref="AN71:AN111" si="74">IF(AC71=0,0,AND(AD71=TRUE,H71=0,M71&lt;&gt;"device",N71&gt;0))</f>
        <v>0</v>
      </c>
      <c r="AO71" s="135">
        <f t="shared" ref="AO71:AO111" si="75">IF(AC71=0,0,AND(AD71=TRUE,COUNTIF(AJ71:AM71,TRUE)=0,H71*I71=0,J71=0))</f>
        <v>0</v>
      </c>
      <c r="AP71" s="146">
        <f t="shared" ref="AP71:AP111" si="76">IF(I71=0,0,H71*I71&lt;J71)</f>
        <v>0</v>
      </c>
      <c r="AQ71" s="152">
        <f t="shared" ref="AQ71:AQ111" si="77">IF(AC71=0,0,AND(AD71=TRUE,COUNTIF(AI71:AO71,TRUE)=0,COUNTIF(AS71:AU71,TRUE)=0,ISBLANK(K71)))</f>
        <v>0</v>
      </c>
      <c r="AR71" s="151">
        <f t="shared" ref="AR71:AR111" si="78">IF(AC71=0,0,AND(AD71=TRUE,COUNTIF(AI71:AO71,TRUE)=0,COUNTIF(AS71:AU71,TRUE)=0,ISBLANK(L71)))</f>
        <v>0</v>
      </c>
      <c r="AS71" s="152">
        <f t="shared" ref="AS71:AS111" si="79">IF(AC71=0,0,OR(M71&lt;0,AND(ISTEXT(M71),M71&lt;&gt;"device")))</f>
        <v>0</v>
      </c>
      <c r="AT71" s="135">
        <f t="shared" ref="AT71:AT111" si="80">IF(AC71=0,0,AND(AD71=TRUE,AO71=FALSE,AS71=FALSE,M71&gt;0,M71&lt;&gt;"device",N71=0))</f>
        <v>0</v>
      </c>
      <c r="AU71" s="151">
        <f t="shared" ref="AU71:AU111" si="81">IF(AC71=0,0,AND(AD71=TRUE,AO71=FALSE,N71&gt;0,OR(M71=0,M71="device")))</f>
        <v>0</v>
      </c>
      <c r="AV71" s="152">
        <f t="shared" ref="AV71:AV111" si="82">IF(AC71=0,0,AND(AD71=TRUE,COUNTIF(AI71:AO71,TRUE)=0,COUNTIF(AQ71:AU71,TRUE)=0))</f>
        <v>0</v>
      </c>
      <c r="AW71" s="135">
        <f t="shared" ref="AW71:AW111" si="83">IF(AC71=0,0,AND(OR(M71&gt;0,F71="internal"),AV71=TRUE))</f>
        <v>0</v>
      </c>
      <c r="AX71" s="134">
        <f t="shared" ref="AX71:AX111" si="84">IF(AC71=0,0,COUNTIF(AI71:AO71,TRUE)+COUNTIF(AQ71:AU71,TRUE))</f>
        <v>0</v>
      </c>
      <c r="AY71" s="498" t="str">
        <f t="shared" si="54"/>
        <v/>
      </c>
      <c r="AZ71" s="152">
        <f t="shared" ref="AZ71:AZ111" si="85">IF(AC71=0,0,AND(H71&gt;0,N71-H71&gt;Glimit))</f>
        <v>0</v>
      </c>
      <c r="BA71" s="135">
        <f t="shared" ref="BA71:BA111" si="86">IF(AC71=0,0,AND(ISNUMBER(O71),O71&gt;2))</f>
        <v>0</v>
      </c>
      <c r="BB71" s="151">
        <f t="shared" ref="BB71:BB111" si="87">IF(AC71=0,0,AND(AD71=TRUE,COUNT(H71:J71)=3,H71*I71&lt;&gt;J71))</f>
        <v>0</v>
      </c>
      <c r="BC71" s="301" t="b">
        <f t="shared" ref="BC71:BC111" si="88">AND(AllInputsOK=TRUE,COUNTIF(CA71:CB71,TRUE)&lt;&gt;0)</f>
        <v>0</v>
      </c>
      <c r="BD71" s="109"/>
      <c r="BE71" s="313">
        <f t="shared" ref="BE71:BE111" si="89">IF(O71="",0,INDEX(PoverH,MATCH(O71,PoverH,1),1))</f>
        <v>0</v>
      </c>
      <c r="BF71" s="314">
        <f t="shared" ref="BF71:BF111" si="90">IF(O71="",0,IF(BE71=2,2,INDEX(PoverH,MATCH(O71,PoverH,1)+1,1)))</f>
        <v>0</v>
      </c>
      <c r="BG71" s="314">
        <f t="shared" ref="BG71:BG111" si="91">BF71-BE71</f>
        <v>0</v>
      </c>
      <c r="BH71" s="315">
        <f t="shared" ref="BH71:BH111" si="92">IF(OR(O71="",BG71=0),0,(O71-BE71)/BG71)</f>
        <v>0</v>
      </c>
      <c r="BI71" s="308">
        <f t="shared" ref="BI71:BI111" si="93">IF(AC71=0,0,IF(AV71=TRUE,IF(ISBLANK(F71),G71,F71)))</f>
        <v>0</v>
      </c>
      <c r="BJ71" s="308">
        <f t="shared" ref="BJ71:BJ111" si="94">IF(BI71="internal","S",BI71)</f>
        <v>0</v>
      </c>
      <c r="BK71" s="170">
        <f t="shared" ref="BK71:BK111" si="95">IF(P71&gt;Glimit,0,INDEX(Grows,MATCH(P71,Gsteps,-1),1))</f>
        <v>0</v>
      </c>
      <c r="BL71" s="324">
        <f t="shared" ref="BL71:BL111" si="96">IF(AND(AV71=TRUE,Zone=0),10,IF(OR(BJ71=0,BJ71=FALSE),0,INDEX(ShadingH,MATCH(BE71,PoverH,0)+BK71,MATCH(BJ71,Orientations,0),Zone)))</f>
        <v>0</v>
      </c>
      <c r="BM71" s="324">
        <f t="shared" ref="BM71:BM111" si="97">IF(AND(AV71=TRUE,Zone=0),10,IF(OR(BJ71=0,BJ71=FALSE),0,INDEX(ShadingH,MATCH(BF71,PoverH,0)+BK71,MATCH(BJ71,Orientations,0),Zone)))</f>
        <v>0</v>
      </c>
      <c r="BN71" s="324">
        <f t="shared" ref="BN71:BN111" si="98">BL71-BM71</f>
        <v>0</v>
      </c>
      <c r="BO71" s="325">
        <f t="shared" ref="BO71:BO111" si="99">BL71-BN71*BH71</f>
        <v>0</v>
      </c>
      <c r="BP71" s="326">
        <f t="shared" ref="BP71:BP111" si="100">IF(AND(AV71=TRUE,Zone=0),10,IF(OR(BJ71=0,BJ71=FALSE),0,INDEX(ShadingC,MATCH(BE71,PoverH,0)+BK71,MATCH(BJ71,Orientations,0),Zone)))</f>
        <v>0</v>
      </c>
      <c r="BQ71" s="324">
        <f t="shared" ref="BQ71:BQ111" si="101">IF(AND(AV71=TRUE,Zone=0),10,IF(OR(BJ71=0,BJ71=FALSE),0,INDEX(ShadingC,MATCH(BF71,PoverH,0)+BK71,MATCH(BJ71,Orientations,0),Zone)))</f>
        <v>0</v>
      </c>
      <c r="BR71" s="324">
        <f t="shared" ref="BR71:BR111" si="102">BP71-BQ71</f>
        <v>0</v>
      </c>
      <c r="BS71" s="325">
        <f t="shared" ref="BS71:BS111" si="103">BP71-BR71*BH71</f>
        <v>0</v>
      </c>
      <c r="BT71" s="10"/>
      <c r="BU71" s="288">
        <f t="shared" ref="BU71:BU111" si="104">IF(AV71=TRUE,S71*(L71*(INDEX(ZoneConstants,1,MATCH(BJ71,Orientations,0))*Q71+INDEX(ZoneConstants,2,MATCH(BJ71,Orientations,0))*R71)+INDEX(ZoneConstants,3,MATCH(BJ71,Orientations,0))*K71),0)</f>
        <v>0</v>
      </c>
      <c r="BV71" s="289">
        <f t="shared" ref="BV71:BV111" si="105">IF(BU71&lt;0,0,BU71)</f>
        <v>0</v>
      </c>
      <c r="BW71" s="134">
        <f t="shared" ref="BW71:BW111" si="106">IF(AV71=TRUE,INDEX(IF(ISBLANK(G71),Allowances,AllowancesLowR),1,MATCH(IF(ISBLANK(G71),F71,G71),Orientations,0)),0)</f>
        <v>0</v>
      </c>
      <c r="BX71" s="294">
        <f t="shared" ref="BX71:BX111" si="107">IF(AV71=TRUE,ROUNDUP(INDEX(IF(ISBLANK(G71),Aggregates,AggregatesLowR),1,MATCH(IF(ISBLANK(G71),F71,G71),Orientations,0))/BW71,2),0)</f>
        <v>0</v>
      </c>
      <c r="BY71" s="295">
        <f t="shared" ref="BY71:BY111" si="108">IF(AV71=TRUE,IF(BV71=0,0,BV71/INDEX(IF(ISBLANK(G71),Aggregates,AggregatesLowR),1,MATCH(IF(ISBLANK(G71),F71,G71),Orientations,0))),0)</f>
        <v>0</v>
      </c>
      <c r="BZ71" s="10"/>
      <c r="CA71" s="190">
        <f t="shared" ref="CA71:CA111" si="109">IF(ISBLANK(F71),0,HLOOKUP(F71,hluNonComplying,2,FALSE))</f>
        <v>0</v>
      </c>
      <c r="CB71" s="191">
        <f t="shared" ref="CB71:CB111" si="110">IF(ISBLANK(G71),0,HLOOKUP(G71,hluNonComplyingLowR,2,FALSE))</f>
        <v>0</v>
      </c>
      <c r="CC71" s="99">
        <f t="shared" ref="CC71:CC111" si="111">COUNTIF(CA71:CB71,TRUE)</f>
        <v>0</v>
      </c>
      <c r="CD71" s="299" t="str">
        <f t="shared" ref="CD71:CD111" si="112">IF(BV71=0,"",TEXT(BY71,IF(BY71&lt;0.005,"0.0%","0%"))&amp;" of "&amp;TEXT(BX71,"0%"))</f>
        <v/>
      </c>
      <c r="CE71" s="305"/>
      <c r="CF71" s="10"/>
      <c r="CG71" s="10"/>
      <c r="CH71" s="10"/>
      <c r="CI71" s="10"/>
      <c r="CJ71" s="10"/>
      <c r="CK71" s="10"/>
      <c r="CL71" s="10"/>
      <c r="CM71" s="10"/>
      <c r="CN71" s="10"/>
      <c r="CO71" s="10"/>
      <c r="CP71" s="10"/>
      <c r="CQ71" s="10"/>
      <c r="CR71" s="10"/>
      <c r="CS71" s="10"/>
      <c r="CT71" s="10"/>
      <c r="CU71" s="10"/>
    </row>
    <row r="72" spans="1:99" ht="13.5" hidden="1" thickBot="1" x14ac:dyDescent="0.25">
      <c r="A72" s="11"/>
      <c r="B72" s="522" t="str">
        <f t="shared" si="41"/>
        <v>-</v>
      </c>
      <c r="C72" s="566">
        <v>40</v>
      </c>
      <c r="D72" s="616"/>
      <c r="E72" s="617"/>
      <c r="F72" s="515"/>
      <c r="G72" s="516"/>
      <c r="H72" s="581"/>
      <c r="I72" s="581"/>
      <c r="J72" s="569"/>
      <c r="K72" s="586"/>
      <c r="L72" s="587"/>
      <c r="M72" s="588"/>
      <c r="N72" s="589"/>
      <c r="O72" s="452" t="str">
        <f t="shared" ref="O72:O111" si="113">IF(AND(AV72=TRUE,AW72=TRUE),IF(OR(M72="device",F72="internal"),2,IF(AZ72=TRUE,0,1)*M72/N72),"")</f>
        <v/>
      </c>
      <c r="P72" s="453" t="str">
        <f t="shared" ref="P72:P111" si="114">IF(AV72=TRUE,IF(AND(H72&gt;0,M72&gt;0,N72&gt;0),ROUND(N72-H72,3),0),"")</f>
        <v/>
      </c>
      <c r="Q72" s="499">
        <f t="shared" ref="Q72:Q111" si="115">IF(OR(ISERR(BO72),BO72=10),"",BO72)</f>
        <v>0</v>
      </c>
      <c r="R72" s="500">
        <f t="shared" ref="R72:R111" si="116">IF(OR(ISERR(BS72),BS72=10),"",BS72)</f>
        <v>0</v>
      </c>
      <c r="S72" s="454">
        <f t="shared" ref="S72:S111" si="117">MAX(H72*I72,J72)</f>
        <v>0</v>
      </c>
      <c r="T72" s="524" t="str">
        <f t="shared" ref="T72:T111" si="118">IF(AllInputsOK=TRUE,CD72,"")</f>
        <v/>
      </c>
      <c r="U72" s="11"/>
      <c r="V72" s="12"/>
      <c r="W72" s="10"/>
      <c r="X72" s="10"/>
      <c r="Y72" s="10">
        <v>40</v>
      </c>
      <c r="Z72" s="71" t="str">
        <f t="shared" ref="Z72:Z112" si="119">IF(AND(RowsPreferred&lt;LastActive,LastActive&gt;=Y72),LastActive,IF(RowsPreferred&gt;=Y72,RowsPreferred,"-"))</f>
        <v>-</v>
      </c>
      <c r="AA72" s="71">
        <f t="shared" ref="AA72:AA112" si="120">IF(AD72=TRUE,1,0)</f>
        <v>0</v>
      </c>
      <c r="AB72" s="10"/>
      <c r="AC72" s="134">
        <f t="shared" si="65"/>
        <v>0</v>
      </c>
      <c r="AD72" s="135">
        <f>IF(SUM(AC72:AC$112)=0,0,COUNTA(F72:G72)&gt;0)</f>
        <v>0</v>
      </c>
      <c r="AE72" s="134">
        <f t="shared" si="66"/>
        <v>0</v>
      </c>
      <c r="AF72" s="475">
        <f>IF(SUM(AC72:AC$112)=0,0,AND(AD72=FALSE,AE72=0,SUM(AE73:AE$112)&gt;0))</f>
        <v>0</v>
      </c>
      <c r="AG72" s="152">
        <f t="shared" si="67"/>
        <v>0</v>
      </c>
      <c r="AH72" s="135">
        <f t="shared" si="68"/>
        <v>0</v>
      </c>
      <c r="AI72" s="135">
        <f t="shared" si="69"/>
        <v>0</v>
      </c>
      <c r="AJ72" s="135">
        <f t="shared" si="70"/>
        <v>0</v>
      </c>
      <c r="AK72" s="183">
        <f t="shared" si="71"/>
        <v>0</v>
      </c>
      <c r="AL72" s="135">
        <f t="shared" si="72"/>
        <v>0</v>
      </c>
      <c r="AM72" s="151">
        <f t="shared" si="73"/>
        <v>0</v>
      </c>
      <c r="AN72" s="152">
        <f t="shared" si="74"/>
        <v>0</v>
      </c>
      <c r="AO72" s="135">
        <f t="shared" si="75"/>
        <v>0</v>
      </c>
      <c r="AP72" s="146">
        <f t="shared" si="76"/>
        <v>0</v>
      </c>
      <c r="AQ72" s="152">
        <f t="shared" si="77"/>
        <v>0</v>
      </c>
      <c r="AR72" s="151">
        <f t="shared" si="78"/>
        <v>0</v>
      </c>
      <c r="AS72" s="152">
        <f t="shared" si="79"/>
        <v>0</v>
      </c>
      <c r="AT72" s="135">
        <f t="shared" si="80"/>
        <v>0</v>
      </c>
      <c r="AU72" s="151">
        <f t="shared" si="81"/>
        <v>0</v>
      </c>
      <c r="AV72" s="152">
        <f t="shared" si="82"/>
        <v>0</v>
      </c>
      <c r="AW72" s="135">
        <f t="shared" si="83"/>
        <v>0</v>
      </c>
      <c r="AX72" s="134">
        <f t="shared" si="84"/>
        <v>0</v>
      </c>
      <c r="AY72" s="498" t="str">
        <f t="shared" si="54"/>
        <v/>
      </c>
      <c r="AZ72" s="152">
        <f t="shared" si="85"/>
        <v>0</v>
      </c>
      <c r="BA72" s="135">
        <f t="shared" si="86"/>
        <v>0</v>
      </c>
      <c r="BB72" s="151">
        <f t="shared" si="87"/>
        <v>0</v>
      </c>
      <c r="BC72" s="301" t="b">
        <f t="shared" si="88"/>
        <v>0</v>
      </c>
      <c r="BD72" s="109"/>
      <c r="BE72" s="313">
        <f t="shared" si="89"/>
        <v>0</v>
      </c>
      <c r="BF72" s="314">
        <f t="shared" si="90"/>
        <v>0</v>
      </c>
      <c r="BG72" s="314">
        <f t="shared" si="91"/>
        <v>0</v>
      </c>
      <c r="BH72" s="315">
        <f t="shared" si="92"/>
        <v>0</v>
      </c>
      <c r="BI72" s="308">
        <f t="shared" si="93"/>
        <v>0</v>
      </c>
      <c r="BJ72" s="308">
        <f t="shared" si="94"/>
        <v>0</v>
      </c>
      <c r="BK72" s="170">
        <f t="shared" si="95"/>
        <v>0</v>
      </c>
      <c r="BL72" s="324">
        <f t="shared" si="96"/>
        <v>0</v>
      </c>
      <c r="BM72" s="324">
        <f t="shared" si="97"/>
        <v>0</v>
      </c>
      <c r="BN72" s="324">
        <f t="shared" si="98"/>
        <v>0</v>
      </c>
      <c r="BO72" s="325">
        <f t="shared" si="99"/>
        <v>0</v>
      </c>
      <c r="BP72" s="326">
        <f t="shared" si="100"/>
        <v>0</v>
      </c>
      <c r="BQ72" s="324">
        <f t="shared" si="101"/>
        <v>0</v>
      </c>
      <c r="BR72" s="324">
        <f t="shared" si="102"/>
        <v>0</v>
      </c>
      <c r="BS72" s="325">
        <f t="shared" si="103"/>
        <v>0</v>
      </c>
      <c r="BT72" s="10"/>
      <c r="BU72" s="288">
        <f t="shared" si="104"/>
        <v>0</v>
      </c>
      <c r="BV72" s="289">
        <f t="shared" si="105"/>
        <v>0</v>
      </c>
      <c r="BW72" s="134">
        <f t="shared" si="106"/>
        <v>0</v>
      </c>
      <c r="BX72" s="294">
        <f t="shared" si="107"/>
        <v>0</v>
      </c>
      <c r="BY72" s="295">
        <f t="shared" si="108"/>
        <v>0</v>
      </c>
      <c r="BZ72" s="10"/>
      <c r="CA72" s="190">
        <f t="shared" si="109"/>
        <v>0</v>
      </c>
      <c r="CB72" s="191">
        <f t="shared" si="110"/>
        <v>0</v>
      </c>
      <c r="CC72" s="99">
        <f t="shared" si="111"/>
        <v>0</v>
      </c>
      <c r="CD72" s="299" t="str">
        <f t="shared" si="112"/>
        <v/>
      </c>
      <c r="CE72" s="305"/>
      <c r="CF72" s="10"/>
      <c r="CG72" s="10"/>
      <c r="CH72" s="10"/>
      <c r="CI72" s="10"/>
      <c r="CJ72" s="10"/>
      <c r="CK72" s="10"/>
      <c r="CL72" s="10"/>
      <c r="CM72" s="10"/>
      <c r="CN72" s="10"/>
      <c r="CO72" s="10"/>
      <c r="CP72" s="10"/>
      <c r="CQ72" s="10"/>
      <c r="CR72" s="10"/>
      <c r="CS72" s="10"/>
      <c r="CT72" s="10"/>
      <c r="CU72" s="10"/>
    </row>
    <row r="73" spans="1:99" ht="13.5" hidden="1" thickBot="1" x14ac:dyDescent="0.25">
      <c r="A73" s="11"/>
      <c r="B73" s="522" t="str">
        <f t="shared" si="41"/>
        <v>-</v>
      </c>
      <c r="C73" s="566">
        <v>41</v>
      </c>
      <c r="D73" s="616"/>
      <c r="E73" s="617"/>
      <c r="F73" s="515"/>
      <c r="G73" s="516"/>
      <c r="H73" s="581"/>
      <c r="I73" s="581"/>
      <c r="J73" s="569"/>
      <c r="K73" s="586"/>
      <c r="L73" s="587"/>
      <c r="M73" s="588"/>
      <c r="N73" s="589"/>
      <c r="O73" s="452" t="str">
        <f t="shared" si="113"/>
        <v/>
      </c>
      <c r="P73" s="453" t="str">
        <f t="shared" si="114"/>
        <v/>
      </c>
      <c r="Q73" s="499">
        <f t="shared" si="115"/>
        <v>0</v>
      </c>
      <c r="R73" s="500">
        <f t="shared" si="116"/>
        <v>0</v>
      </c>
      <c r="S73" s="454">
        <f t="shared" si="117"/>
        <v>0</v>
      </c>
      <c r="T73" s="524" t="str">
        <f t="shared" si="118"/>
        <v/>
      </c>
      <c r="U73" s="11"/>
      <c r="V73" s="12"/>
      <c r="W73" s="10"/>
      <c r="X73" s="10"/>
      <c r="Y73" s="10">
        <v>41</v>
      </c>
      <c r="Z73" s="71" t="str">
        <f t="shared" si="119"/>
        <v>-</v>
      </c>
      <c r="AA73" s="71">
        <f t="shared" si="120"/>
        <v>0</v>
      </c>
      <c r="AB73" s="10"/>
      <c r="AC73" s="134">
        <f t="shared" si="65"/>
        <v>0</v>
      </c>
      <c r="AD73" s="135">
        <f>IF(SUM(AC73:AC$112)=0,0,COUNTA(F73:G73)&gt;0)</f>
        <v>0</v>
      </c>
      <c r="AE73" s="134">
        <f t="shared" si="66"/>
        <v>0</v>
      </c>
      <c r="AF73" s="475">
        <f>IF(SUM(AC73:AC$112)=0,0,AND(AD73=FALSE,AE73=0,SUM(AE74:AE$112)&gt;0))</f>
        <v>0</v>
      </c>
      <c r="AG73" s="152">
        <f t="shared" si="67"/>
        <v>0</v>
      </c>
      <c r="AH73" s="135">
        <f t="shared" si="68"/>
        <v>0</v>
      </c>
      <c r="AI73" s="135">
        <f t="shared" si="69"/>
        <v>0</v>
      </c>
      <c r="AJ73" s="135">
        <f t="shared" si="70"/>
        <v>0</v>
      </c>
      <c r="AK73" s="183">
        <f t="shared" si="71"/>
        <v>0</v>
      </c>
      <c r="AL73" s="135">
        <f t="shared" si="72"/>
        <v>0</v>
      </c>
      <c r="AM73" s="151">
        <f t="shared" si="73"/>
        <v>0</v>
      </c>
      <c r="AN73" s="152">
        <f t="shared" si="74"/>
        <v>0</v>
      </c>
      <c r="AO73" s="135">
        <f t="shared" si="75"/>
        <v>0</v>
      </c>
      <c r="AP73" s="146">
        <f t="shared" si="76"/>
        <v>0</v>
      </c>
      <c r="AQ73" s="152">
        <f t="shared" si="77"/>
        <v>0</v>
      </c>
      <c r="AR73" s="151">
        <f t="shared" si="78"/>
        <v>0</v>
      </c>
      <c r="AS73" s="152">
        <f t="shared" si="79"/>
        <v>0</v>
      </c>
      <c r="AT73" s="135">
        <f t="shared" si="80"/>
        <v>0</v>
      </c>
      <c r="AU73" s="151">
        <f t="shared" si="81"/>
        <v>0</v>
      </c>
      <c r="AV73" s="152">
        <f t="shared" si="82"/>
        <v>0</v>
      </c>
      <c r="AW73" s="135">
        <f t="shared" si="83"/>
        <v>0</v>
      </c>
      <c r="AX73" s="134">
        <f t="shared" si="84"/>
        <v>0</v>
      </c>
      <c r="AY73" s="498" t="str">
        <f t="shared" si="54"/>
        <v/>
      </c>
      <c r="AZ73" s="152">
        <f t="shared" si="85"/>
        <v>0</v>
      </c>
      <c r="BA73" s="135">
        <f t="shared" si="86"/>
        <v>0</v>
      </c>
      <c r="BB73" s="151">
        <f t="shared" si="87"/>
        <v>0</v>
      </c>
      <c r="BC73" s="301" t="b">
        <f t="shared" si="88"/>
        <v>0</v>
      </c>
      <c r="BD73" s="109"/>
      <c r="BE73" s="313">
        <f t="shared" si="89"/>
        <v>0</v>
      </c>
      <c r="BF73" s="314">
        <f t="shared" si="90"/>
        <v>0</v>
      </c>
      <c r="BG73" s="314">
        <f t="shared" si="91"/>
        <v>0</v>
      </c>
      <c r="BH73" s="315">
        <f t="shared" si="92"/>
        <v>0</v>
      </c>
      <c r="BI73" s="308">
        <f t="shared" si="93"/>
        <v>0</v>
      </c>
      <c r="BJ73" s="308">
        <f t="shared" si="94"/>
        <v>0</v>
      </c>
      <c r="BK73" s="170">
        <f t="shared" si="95"/>
        <v>0</v>
      </c>
      <c r="BL73" s="324">
        <f t="shared" si="96"/>
        <v>0</v>
      </c>
      <c r="BM73" s="324">
        <f t="shared" si="97"/>
        <v>0</v>
      </c>
      <c r="BN73" s="324">
        <f t="shared" si="98"/>
        <v>0</v>
      </c>
      <c r="BO73" s="325">
        <f t="shared" si="99"/>
        <v>0</v>
      </c>
      <c r="BP73" s="326">
        <f t="shared" si="100"/>
        <v>0</v>
      </c>
      <c r="BQ73" s="324">
        <f t="shared" si="101"/>
        <v>0</v>
      </c>
      <c r="BR73" s="324">
        <f t="shared" si="102"/>
        <v>0</v>
      </c>
      <c r="BS73" s="325">
        <f t="shared" si="103"/>
        <v>0</v>
      </c>
      <c r="BT73" s="10"/>
      <c r="BU73" s="288">
        <f t="shared" si="104"/>
        <v>0</v>
      </c>
      <c r="BV73" s="289">
        <f t="shared" si="105"/>
        <v>0</v>
      </c>
      <c r="BW73" s="134">
        <f t="shared" si="106"/>
        <v>0</v>
      </c>
      <c r="BX73" s="294">
        <f t="shared" si="107"/>
        <v>0</v>
      </c>
      <c r="BY73" s="295">
        <f t="shared" si="108"/>
        <v>0</v>
      </c>
      <c r="BZ73" s="10"/>
      <c r="CA73" s="190">
        <f t="shared" si="109"/>
        <v>0</v>
      </c>
      <c r="CB73" s="191">
        <f t="shared" si="110"/>
        <v>0</v>
      </c>
      <c r="CC73" s="99">
        <f t="shared" si="111"/>
        <v>0</v>
      </c>
      <c r="CD73" s="299" t="str">
        <f t="shared" si="112"/>
        <v/>
      </c>
      <c r="CE73" s="305"/>
      <c r="CF73" s="10"/>
      <c r="CG73" s="10"/>
      <c r="CH73" s="10"/>
      <c r="CI73" s="10"/>
      <c r="CJ73" s="10"/>
      <c r="CK73" s="10"/>
      <c r="CL73" s="10"/>
      <c r="CM73" s="10"/>
      <c r="CN73" s="10"/>
      <c r="CO73" s="10"/>
      <c r="CP73" s="10"/>
      <c r="CQ73" s="10"/>
      <c r="CR73" s="10"/>
      <c r="CS73" s="10"/>
      <c r="CT73" s="10"/>
      <c r="CU73" s="10"/>
    </row>
    <row r="74" spans="1:99" ht="13.5" hidden="1" thickBot="1" x14ac:dyDescent="0.25">
      <c r="A74" s="11"/>
      <c r="B74" s="522" t="str">
        <f t="shared" si="41"/>
        <v>-</v>
      </c>
      <c r="C74" s="566">
        <v>42</v>
      </c>
      <c r="D74" s="616"/>
      <c r="E74" s="617"/>
      <c r="F74" s="515"/>
      <c r="G74" s="516"/>
      <c r="H74" s="581"/>
      <c r="I74" s="581"/>
      <c r="J74" s="569"/>
      <c r="K74" s="586"/>
      <c r="L74" s="587"/>
      <c r="M74" s="588"/>
      <c r="N74" s="589"/>
      <c r="O74" s="452" t="str">
        <f t="shared" si="113"/>
        <v/>
      </c>
      <c r="P74" s="453" t="str">
        <f t="shared" si="114"/>
        <v/>
      </c>
      <c r="Q74" s="499">
        <f t="shared" si="115"/>
        <v>0</v>
      </c>
      <c r="R74" s="500">
        <f t="shared" si="116"/>
        <v>0</v>
      </c>
      <c r="S74" s="454">
        <f t="shared" si="117"/>
        <v>0</v>
      </c>
      <c r="T74" s="524" t="str">
        <f t="shared" si="118"/>
        <v/>
      </c>
      <c r="U74" s="11"/>
      <c r="V74" s="12"/>
      <c r="W74" s="10"/>
      <c r="X74" s="10"/>
      <c r="Y74" s="10">
        <v>42</v>
      </c>
      <c r="Z74" s="71" t="str">
        <f t="shared" si="119"/>
        <v>-</v>
      </c>
      <c r="AA74" s="71">
        <f t="shared" si="120"/>
        <v>0</v>
      </c>
      <c r="AB74" s="10"/>
      <c r="AC74" s="134">
        <f t="shared" si="65"/>
        <v>0</v>
      </c>
      <c r="AD74" s="135">
        <f>IF(SUM(AC74:AC$112)=0,0,COUNTA(F74:G74)&gt;0)</f>
        <v>0</v>
      </c>
      <c r="AE74" s="134">
        <f t="shared" si="66"/>
        <v>0</v>
      </c>
      <c r="AF74" s="475">
        <f>IF(SUM(AC74:AC$112)=0,0,AND(AD74=FALSE,AE74=0,SUM(AE75:AE$112)&gt;0))</f>
        <v>0</v>
      </c>
      <c r="AG74" s="152">
        <f t="shared" si="67"/>
        <v>0</v>
      </c>
      <c r="AH74" s="135">
        <f t="shared" si="68"/>
        <v>0</v>
      </c>
      <c r="AI74" s="135">
        <f t="shared" si="69"/>
        <v>0</v>
      </c>
      <c r="AJ74" s="135">
        <f t="shared" si="70"/>
        <v>0</v>
      </c>
      <c r="AK74" s="183">
        <f t="shared" si="71"/>
        <v>0</v>
      </c>
      <c r="AL74" s="135">
        <f t="shared" si="72"/>
        <v>0</v>
      </c>
      <c r="AM74" s="151">
        <f t="shared" si="73"/>
        <v>0</v>
      </c>
      <c r="AN74" s="152">
        <f t="shared" si="74"/>
        <v>0</v>
      </c>
      <c r="AO74" s="135">
        <f t="shared" si="75"/>
        <v>0</v>
      </c>
      <c r="AP74" s="146">
        <f t="shared" si="76"/>
        <v>0</v>
      </c>
      <c r="AQ74" s="152">
        <f t="shared" si="77"/>
        <v>0</v>
      </c>
      <c r="AR74" s="151">
        <f t="shared" si="78"/>
        <v>0</v>
      </c>
      <c r="AS74" s="152">
        <f t="shared" si="79"/>
        <v>0</v>
      </c>
      <c r="AT74" s="135">
        <f t="shared" si="80"/>
        <v>0</v>
      </c>
      <c r="AU74" s="151">
        <f t="shared" si="81"/>
        <v>0</v>
      </c>
      <c r="AV74" s="152">
        <f t="shared" si="82"/>
        <v>0</v>
      </c>
      <c r="AW74" s="135">
        <f t="shared" si="83"/>
        <v>0</v>
      </c>
      <c r="AX74" s="134">
        <f t="shared" si="84"/>
        <v>0</v>
      </c>
      <c r="AY74" s="498" t="str">
        <f t="shared" si="54"/>
        <v/>
      </c>
      <c r="AZ74" s="152">
        <f t="shared" si="85"/>
        <v>0</v>
      </c>
      <c r="BA74" s="135">
        <f t="shared" si="86"/>
        <v>0</v>
      </c>
      <c r="BB74" s="151">
        <f t="shared" si="87"/>
        <v>0</v>
      </c>
      <c r="BC74" s="301" t="b">
        <f t="shared" si="88"/>
        <v>0</v>
      </c>
      <c r="BD74" s="109"/>
      <c r="BE74" s="313">
        <f t="shared" si="89"/>
        <v>0</v>
      </c>
      <c r="BF74" s="314">
        <f t="shared" si="90"/>
        <v>0</v>
      </c>
      <c r="BG74" s="314">
        <f t="shared" si="91"/>
        <v>0</v>
      </c>
      <c r="BH74" s="315">
        <f t="shared" si="92"/>
        <v>0</v>
      </c>
      <c r="BI74" s="308">
        <f t="shared" si="93"/>
        <v>0</v>
      </c>
      <c r="BJ74" s="308">
        <f t="shared" si="94"/>
        <v>0</v>
      </c>
      <c r="BK74" s="170">
        <f t="shared" si="95"/>
        <v>0</v>
      </c>
      <c r="BL74" s="324">
        <f t="shared" si="96"/>
        <v>0</v>
      </c>
      <c r="BM74" s="324">
        <f t="shared" si="97"/>
        <v>0</v>
      </c>
      <c r="BN74" s="324">
        <f t="shared" si="98"/>
        <v>0</v>
      </c>
      <c r="BO74" s="325">
        <f t="shared" si="99"/>
        <v>0</v>
      </c>
      <c r="BP74" s="326">
        <f t="shared" si="100"/>
        <v>0</v>
      </c>
      <c r="BQ74" s="324">
        <f t="shared" si="101"/>
        <v>0</v>
      </c>
      <c r="BR74" s="324">
        <f t="shared" si="102"/>
        <v>0</v>
      </c>
      <c r="BS74" s="325">
        <f t="shared" si="103"/>
        <v>0</v>
      </c>
      <c r="BT74" s="10"/>
      <c r="BU74" s="288">
        <f t="shared" si="104"/>
        <v>0</v>
      </c>
      <c r="BV74" s="289">
        <f t="shared" si="105"/>
        <v>0</v>
      </c>
      <c r="BW74" s="134">
        <f t="shared" si="106"/>
        <v>0</v>
      </c>
      <c r="BX74" s="294">
        <f t="shared" si="107"/>
        <v>0</v>
      </c>
      <c r="BY74" s="295">
        <f t="shared" si="108"/>
        <v>0</v>
      </c>
      <c r="BZ74" s="10"/>
      <c r="CA74" s="190">
        <f t="shared" si="109"/>
        <v>0</v>
      </c>
      <c r="CB74" s="191">
        <f t="shared" si="110"/>
        <v>0</v>
      </c>
      <c r="CC74" s="99">
        <f t="shared" si="111"/>
        <v>0</v>
      </c>
      <c r="CD74" s="299" t="str">
        <f t="shared" si="112"/>
        <v/>
      </c>
      <c r="CE74" s="305"/>
      <c r="CF74" s="10"/>
      <c r="CG74" s="10"/>
      <c r="CH74" s="10"/>
      <c r="CI74" s="10"/>
      <c r="CJ74" s="10"/>
      <c r="CK74" s="10"/>
      <c r="CL74" s="10"/>
      <c r="CM74" s="10"/>
      <c r="CN74" s="10"/>
      <c r="CO74" s="10"/>
      <c r="CP74" s="10"/>
      <c r="CQ74" s="10"/>
      <c r="CR74" s="10"/>
      <c r="CS74" s="10"/>
      <c r="CT74" s="10"/>
      <c r="CU74" s="10"/>
    </row>
    <row r="75" spans="1:99" ht="13.5" hidden="1" thickBot="1" x14ac:dyDescent="0.25">
      <c r="A75" s="11"/>
      <c r="B75" s="522" t="str">
        <f t="shared" si="41"/>
        <v>-</v>
      </c>
      <c r="C75" s="566">
        <v>43</v>
      </c>
      <c r="D75" s="616"/>
      <c r="E75" s="617"/>
      <c r="F75" s="515"/>
      <c r="G75" s="516"/>
      <c r="H75" s="581"/>
      <c r="I75" s="581"/>
      <c r="J75" s="569"/>
      <c r="K75" s="586"/>
      <c r="L75" s="587"/>
      <c r="M75" s="588"/>
      <c r="N75" s="589"/>
      <c r="O75" s="452" t="str">
        <f t="shared" si="113"/>
        <v/>
      </c>
      <c r="P75" s="453" t="str">
        <f t="shared" si="114"/>
        <v/>
      </c>
      <c r="Q75" s="499">
        <f t="shared" si="115"/>
        <v>0</v>
      </c>
      <c r="R75" s="500">
        <f t="shared" si="116"/>
        <v>0</v>
      </c>
      <c r="S75" s="454">
        <f t="shared" si="117"/>
        <v>0</v>
      </c>
      <c r="T75" s="524" t="str">
        <f t="shared" si="118"/>
        <v/>
      </c>
      <c r="U75" s="11"/>
      <c r="V75" s="12"/>
      <c r="W75" s="10"/>
      <c r="X75" s="10"/>
      <c r="Y75" s="10">
        <v>43</v>
      </c>
      <c r="Z75" s="71" t="str">
        <f t="shared" si="119"/>
        <v>-</v>
      </c>
      <c r="AA75" s="71">
        <f t="shared" si="120"/>
        <v>0</v>
      </c>
      <c r="AB75" s="10"/>
      <c r="AC75" s="134">
        <f t="shared" si="65"/>
        <v>0</v>
      </c>
      <c r="AD75" s="135">
        <f>IF(SUM(AC75:AC$112)=0,0,COUNTA(F75:G75)&gt;0)</f>
        <v>0</v>
      </c>
      <c r="AE75" s="134">
        <f t="shared" si="66"/>
        <v>0</v>
      </c>
      <c r="AF75" s="475">
        <f>IF(SUM(AC75:AC$112)=0,0,AND(AD75=FALSE,AE75=0,SUM(AE76:AE$112)&gt;0))</f>
        <v>0</v>
      </c>
      <c r="AG75" s="152">
        <f t="shared" si="67"/>
        <v>0</v>
      </c>
      <c r="AH75" s="135">
        <f t="shared" si="68"/>
        <v>0</v>
      </c>
      <c r="AI75" s="135">
        <f t="shared" si="69"/>
        <v>0</v>
      </c>
      <c r="AJ75" s="135">
        <f t="shared" si="70"/>
        <v>0</v>
      </c>
      <c r="AK75" s="183">
        <f t="shared" si="71"/>
        <v>0</v>
      </c>
      <c r="AL75" s="135">
        <f t="shared" si="72"/>
        <v>0</v>
      </c>
      <c r="AM75" s="151">
        <f t="shared" si="73"/>
        <v>0</v>
      </c>
      <c r="AN75" s="152">
        <f t="shared" si="74"/>
        <v>0</v>
      </c>
      <c r="AO75" s="135">
        <f t="shared" si="75"/>
        <v>0</v>
      </c>
      <c r="AP75" s="146">
        <f t="shared" si="76"/>
        <v>0</v>
      </c>
      <c r="AQ75" s="152">
        <f t="shared" si="77"/>
        <v>0</v>
      </c>
      <c r="AR75" s="151">
        <f t="shared" si="78"/>
        <v>0</v>
      </c>
      <c r="AS75" s="152">
        <f t="shared" si="79"/>
        <v>0</v>
      </c>
      <c r="AT75" s="135">
        <f t="shared" si="80"/>
        <v>0</v>
      </c>
      <c r="AU75" s="151">
        <f t="shared" si="81"/>
        <v>0</v>
      </c>
      <c r="AV75" s="152">
        <f t="shared" si="82"/>
        <v>0</v>
      </c>
      <c r="AW75" s="135">
        <f t="shared" si="83"/>
        <v>0</v>
      </c>
      <c r="AX75" s="134">
        <f t="shared" si="84"/>
        <v>0</v>
      </c>
      <c r="AY75" s="498" t="str">
        <f t="shared" si="54"/>
        <v/>
      </c>
      <c r="AZ75" s="152">
        <f t="shared" si="85"/>
        <v>0</v>
      </c>
      <c r="BA75" s="135">
        <f t="shared" si="86"/>
        <v>0</v>
      </c>
      <c r="BB75" s="151">
        <f t="shared" si="87"/>
        <v>0</v>
      </c>
      <c r="BC75" s="301" t="b">
        <f t="shared" si="88"/>
        <v>0</v>
      </c>
      <c r="BD75" s="109"/>
      <c r="BE75" s="313">
        <f t="shared" si="89"/>
        <v>0</v>
      </c>
      <c r="BF75" s="314">
        <f t="shared" si="90"/>
        <v>0</v>
      </c>
      <c r="BG75" s="314">
        <f t="shared" si="91"/>
        <v>0</v>
      </c>
      <c r="BH75" s="315">
        <f t="shared" si="92"/>
        <v>0</v>
      </c>
      <c r="BI75" s="308">
        <f t="shared" si="93"/>
        <v>0</v>
      </c>
      <c r="BJ75" s="308">
        <f t="shared" si="94"/>
        <v>0</v>
      </c>
      <c r="BK75" s="170">
        <f t="shared" si="95"/>
        <v>0</v>
      </c>
      <c r="BL75" s="324">
        <f t="shared" si="96"/>
        <v>0</v>
      </c>
      <c r="BM75" s="324">
        <f t="shared" si="97"/>
        <v>0</v>
      </c>
      <c r="BN75" s="324">
        <f t="shared" si="98"/>
        <v>0</v>
      </c>
      <c r="BO75" s="325">
        <f t="shared" si="99"/>
        <v>0</v>
      </c>
      <c r="BP75" s="326">
        <f t="shared" si="100"/>
        <v>0</v>
      </c>
      <c r="BQ75" s="324">
        <f t="shared" si="101"/>
        <v>0</v>
      </c>
      <c r="BR75" s="324">
        <f t="shared" si="102"/>
        <v>0</v>
      </c>
      <c r="BS75" s="325">
        <f t="shared" si="103"/>
        <v>0</v>
      </c>
      <c r="BT75" s="10"/>
      <c r="BU75" s="288">
        <f t="shared" si="104"/>
        <v>0</v>
      </c>
      <c r="BV75" s="289">
        <f t="shared" si="105"/>
        <v>0</v>
      </c>
      <c r="BW75" s="134">
        <f t="shared" si="106"/>
        <v>0</v>
      </c>
      <c r="BX75" s="294">
        <f t="shared" si="107"/>
        <v>0</v>
      </c>
      <c r="BY75" s="295">
        <f t="shared" si="108"/>
        <v>0</v>
      </c>
      <c r="BZ75" s="10"/>
      <c r="CA75" s="190">
        <f t="shared" si="109"/>
        <v>0</v>
      </c>
      <c r="CB75" s="191">
        <f t="shared" si="110"/>
        <v>0</v>
      </c>
      <c r="CC75" s="99">
        <f t="shared" si="111"/>
        <v>0</v>
      </c>
      <c r="CD75" s="299" t="str">
        <f t="shared" si="112"/>
        <v/>
      </c>
      <c r="CE75" s="305"/>
      <c r="CF75" s="10"/>
      <c r="CG75" s="10"/>
      <c r="CH75" s="10"/>
      <c r="CI75" s="10"/>
      <c r="CJ75" s="10"/>
      <c r="CK75" s="10"/>
      <c r="CL75" s="10"/>
      <c r="CM75" s="10"/>
      <c r="CN75" s="10"/>
      <c r="CO75" s="10"/>
      <c r="CP75" s="10"/>
      <c r="CQ75" s="10"/>
      <c r="CR75" s="10"/>
      <c r="CS75" s="10"/>
      <c r="CT75" s="10"/>
      <c r="CU75" s="10"/>
    </row>
    <row r="76" spans="1:99" ht="13.5" hidden="1" thickBot="1" x14ac:dyDescent="0.25">
      <c r="A76" s="11"/>
      <c r="B76" s="522" t="str">
        <f t="shared" si="41"/>
        <v>-</v>
      </c>
      <c r="C76" s="566">
        <v>44</v>
      </c>
      <c r="D76" s="616"/>
      <c r="E76" s="617"/>
      <c r="F76" s="515"/>
      <c r="G76" s="516"/>
      <c r="H76" s="581"/>
      <c r="I76" s="581"/>
      <c r="J76" s="569"/>
      <c r="K76" s="586"/>
      <c r="L76" s="587"/>
      <c r="M76" s="588"/>
      <c r="N76" s="589"/>
      <c r="O76" s="452" t="str">
        <f t="shared" si="113"/>
        <v/>
      </c>
      <c r="P76" s="453" t="str">
        <f t="shared" si="114"/>
        <v/>
      </c>
      <c r="Q76" s="499">
        <f t="shared" si="115"/>
        <v>0</v>
      </c>
      <c r="R76" s="500">
        <f t="shared" si="116"/>
        <v>0</v>
      </c>
      <c r="S76" s="454">
        <f t="shared" si="117"/>
        <v>0</v>
      </c>
      <c r="T76" s="524" t="str">
        <f t="shared" si="118"/>
        <v/>
      </c>
      <c r="U76" s="11"/>
      <c r="V76" s="12"/>
      <c r="W76" s="10"/>
      <c r="X76" s="10"/>
      <c r="Y76" s="10">
        <v>44</v>
      </c>
      <c r="Z76" s="71" t="str">
        <f t="shared" si="119"/>
        <v>-</v>
      </c>
      <c r="AA76" s="71">
        <f t="shared" si="120"/>
        <v>0</v>
      </c>
      <c r="AB76" s="10"/>
      <c r="AC76" s="134">
        <f t="shared" si="65"/>
        <v>0</v>
      </c>
      <c r="AD76" s="135">
        <f>IF(SUM(AC76:AC$112)=0,0,COUNTA(F76:G76)&gt;0)</f>
        <v>0</v>
      </c>
      <c r="AE76" s="134">
        <f t="shared" si="66"/>
        <v>0</v>
      </c>
      <c r="AF76" s="475">
        <f>IF(SUM(AC76:AC$112)=0,0,AND(AD76=FALSE,AE76=0,SUM(AE77:AE$112)&gt;0))</f>
        <v>0</v>
      </c>
      <c r="AG76" s="152">
        <f t="shared" si="67"/>
        <v>0</v>
      </c>
      <c r="AH76" s="135">
        <f t="shared" si="68"/>
        <v>0</v>
      </c>
      <c r="AI76" s="135">
        <f t="shared" si="69"/>
        <v>0</v>
      </c>
      <c r="AJ76" s="135">
        <f t="shared" si="70"/>
        <v>0</v>
      </c>
      <c r="AK76" s="183">
        <f t="shared" si="71"/>
        <v>0</v>
      </c>
      <c r="AL76" s="135">
        <f t="shared" si="72"/>
        <v>0</v>
      </c>
      <c r="AM76" s="151">
        <f t="shared" si="73"/>
        <v>0</v>
      </c>
      <c r="AN76" s="152">
        <f t="shared" si="74"/>
        <v>0</v>
      </c>
      <c r="AO76" s="135">
        <f t="shared" si="75"/>
        <v>0</v>
      </c>
      <c r="AP76" s="146">
        <f t="shared" si="76"/>
        <v>0</v>
      </c>
      <c r="AQ76" s="152">
        <f t="shared" si="77"/>
        <v>0</v>
      </c>
      <c r="AR76" s="151">
        <f t="shared" si="78"/>
        <v>0</v>
      </c>
      <c r="AS76" s="152">
        <f t="shared" si="79"/>
        <v>0</v>
      </c>
      <c r="AT76" s="135">
        <f t="shared" si="80"/>
        <v>0</v>
      </c>
      <c r="AU76" s="151">
        <f t="shared" si="81"/>
        <v>0</v>
      </c>
      <c r="AV76" s="152">
        <f t="shared" si="82"/>
        <v>0</v>
      </c>
      <c r="AW76" s="135">
        <f t="shared" si="83"/>
        <v>0</v>
      </c>
      <c r="AX76" s="134">
        <f t="shared" si="84"/>
        <v>0</v>
      </c>
      <c r="AY76" s="498" t="str">
        <f t="shared" si="54"/>
        <v/>
      </c>
      <c r="AZ76" s="152">
        <f t="shared" si="85"/>
        <v>0</v>
      </c>
      <c r="BA76" s="135">
        <f t="shared" si="86"/>
        <v>0</v>
      </c>
      <c r="BB76" s="151">
        <f t="shared" si="87"/>
        <v>0</v>
      </c>
      <c r="BC76" s="301" t="b">
        <f t="shared" si="88"/>
        <v>0</v>
      </c>
      <c r="BD76" s="109"/>
      <c r="BE76" s="313">
        <f t="shared" si="89"/>
        <v>0</v>
      </c>
      <c r="BF76" s="314">
        <f t="shared" si="90"/>
        <v>0</v>
      </c>
      <c r="BG76" s="314">
        <f t="shared" si="91"/>
        <v>0</v>
      </c>
      <c r="BH76" s="315">
        <f t="shared" si="92"/>
        <v>0</v>
      </c>
      <c r="BI76" s="308">
        <f t="shared" si="93"/>
        <v>0</v>
      </c>
      <c r="BJ76" s="308">
        <f t="shared" si="94"/>
        <v>0</v>
      </c>
      <c r="BK76" s="170">
        <f t="shared" si="95"/>
        <v>0</v>
      </c>
      <c r="BL76" s="324">
        <f t="shared" si="96"/>
        <v>0</v>
      </c>
      <c r="BM76" s="324">
        <f t="shared" si="97"/>
        <v>0</v>
      </c>
      <c r="BN76" s="324">
        <f t="shared" si="98"/>
        <v>0</v>
      </c>
      <c r="BO76" s="325">
        <f t="shared" si="99"/>
        <v>0</v>
      </c>
      <c r="BP76" s="326">
        <f t="shared" si="100"/>
        <v>0</v>
      </c>
      <c r="BQ76" s="324">
        <f t="shared" si="101"/>
        <v>0</v>
      </c>
      <c r="BR76" s="324">
        <f t="shared" si="102"/>
        <v>0</v>
      </c>
      <c r="BS76" s="325">
        <f t="shared" si="103"/>
        <v>0</v>
      </c>
      <c r="BT76" s="10"/>
      <c r="BU76" s="288">
        <f t="shared" si="104"/>
        <v>0</v>
      </c>
      <c r="BV76" s="289">
        <f t="shared" si="105"/>
        <v>0</v>
      </c>
      <c r="BW76" s="134">
        <f t="shared" si="106"/>
        <v>0</v>
      </c>
      <c r="BX76" s="294">
        <f t="shared" si="107"/>
        <v>0</v>
      </c>
      <c r="BY76" s="295">
        <f t="shared" si="108"/>
        <v>0</v>
      </c>
      <c r="BZ76" s="10"/>
      <c r="CA76" s="190">
        <f t="shared" si="109"/>
        <v>0</v>
      </c>
      <c r="CB76" s="191">
        <f t="shared" si="110"/>
        <v>0</v>
      </c>
      <c r="CC76" s="99">
        <f t="shared" si="111"/>
        <v>0</v>
      </c>
      <c r="CD76" s="299" t="str">
        <f t="shared" si="112"/>
        <v/>
      </c>
      <c r="CE76" s="305"/>
      <c r="CF76" s="10"/>
      <c r="CG76" s="10"/>
      <c r="CH76" s="10"/>
      <c r="CI76" s="10"/>
      <c r="CJ76" s="10"/>
      <c r="CK76" s="10"/>
      <c r="CL76" s="10"/>
      <c r="CM76" s="10"/>
      <c r="CN76" s="10"/>
      <c r="CO76" s="10"/>
      <c r="CP76" s="10"/>
      <c r="CQ76" s="10"/>
      <c r="CR76" s="10"/>
      <c r="CS76" s="10"/>
      <c r="CT76" s="10"/>
      <c r="CU76" s="10"/>
    </row>
    <row r="77" spans="1:99" ht="13.5" hidden="1" thickBot="1" x14ac:dyDescent="0.25">
      <c r="A77" s="11"/>
      <c r="B77" s="522" t="str">
        <f t="shared" si="41"/>
        <v>-</v>
      </c>
      <c r="C77" s="566">
        <v>45</v>
      </c>
      <c r="D77" s="616"/>
      <c r="E77" s="617"/>
      <c r="F77" s="515"/>
      <c r="G77" s="516"/>
      <c r="H77" s="581"/>
      <c r="I77" s="581"/>
      <c r="J77" s="569"/>
      <c r="K77" s="586"/>
      <c r="L77" s="587"/>
      <c r="M77" s="588"/>
      <c r="N77" s="589"/>
      <c r="O77" s="452" t="str">
        <f t="shared" si="113"/>
        <v/>
      </c>
      <c r="P77" s="453" t="str">
        <f t="shared" si="114"/>
        <v/>
      </c>
      <c r="Q77" s="499">
        <f t="shared" si="115"/>
        <v>0</v>
      </c>
      <c r="R77" s="500">
        <f t="shared" si="116"/>
        <v>0</v>
      </c>
      <c r="S77" s="454">
        <f t="shared" si="117"/>
        <v>0</v>
      </c>
      <c r="T77" s="524" t="str">
        <f t="shared" si="118"/>
        <v/>
      </c>
      <c r="U77" s="11"/>
      <c r="V77" s="12"/>
      <c r="W77" s="10"/>
      <c r="X77" s="10"/>
      <c r="Y77" s="10">
        <v>45</v>
      </c>
      <c r="Z77" s="71" t="str">
        <f t="shared" si="119"/>
        <v>-</v>
      </c>
      <c r="AA77" s="71">
        <f t="shared" si="120"/>
        <v>0</v>
      </c>
      <c r="AB77" s="10"/>
      <c r="AC77" s="134">
        <f t="shared" si="65"/>
        <v>0</v>
      </c>
      <c r="AD77" s="135">
        <f>IF(SUM(AC77:AC$112)=0,0,COUNTA(F77:G77)&gt;0)</f>
        <v>0</v>
      </c>
      <c r="AE77" s="134">
        <f t="shared" si="66"/>
        <v>0</v>
      </c>
      <c r="AF77" s="475">
        <f>IF(SUM(AC77:AC$112)=0,0,AND(AD77=FALSE,AE77=0,SUM(AE78:AE$112)&gt;0))</f>
        <v>0</v>
      </c>
      <c r="AG77" s="152">
        <f t="shared" si="67"/>
        <v>0</v>
      </c>
      <c r="AH77" s="135">
        <f t="shared" si="68"/>
        <v>0</v>
      </c>
      <c r="AI77" s="135">
        <f t="shared" si="69"/>
        <v>0</v>
      </c>
      <c r="AJ77" s="135">
        <f t="shared" si="70"/>
        <v>0</v>
      </c>
      <c r="AK77" s="183">
        <f t="shared" si="71"/>
        <v>0</v>
      </c>
      <c r="AL77" s="135">
        <f t="shared" si="72"/>
        <v>0</v>
      </c>
      <c r="AM77" s="151">
        <f t="shared" si="73"/>
        <v>0</v>
      </c>
      <c r="AN77" s="152">
        <f t="shared" si="74"/>
        <v>0</v>
      </c>
      <c r="AO77" s="135">
        <f t="shared" si="75"/>
        <v>0</v>
      </c>
      <c r="AP77" s="146">
        <f t="shared" si="76"/>
        <v>0</v>
      </c>
      <c r="AQ77" s="152">
        <f t="shared" si="77"/>
        <v>0</v>
      </c>
      <c r="AR77" s="151">
        <f t="shared" si="78"/>
        <v>0</v>
      </c>
      <c r="AS77" s="152">
        <f t="shared" si="79"/>
        <v>0</v>
      </c>
      <c r="AT77" s="135">
        <f t="shared" si="80"/>
        <v>0</v>
      </c>
      <c r="AU77" s="151">
        <f t="shared" si="81"/>
        <v>0</v>
      </c>
      <c r="AV77" s="152">
        <f t="shared" si="82"/>
        <v>0</v>
      </c>
      <c r="AW77" s="135">
        <f t="shared" si="83"/>
        <v>0</v>
      </c>
      <c r="AX77" s="134">
        <f t="shared" si="84"/>
        <v>0</v>
      </c>
      <c r="AY77" s="498" t="str">
        <f t="shared" si="54"/>
        <v/>
      </c>
      <c r="AZ77" s="152">
        <f t="shared" si="85"/>
        <v>0</v>
      </c>
      <c r="BA77" s="135">
        <f t="shared" si="86"/>
        <v>0</v>
      </c>
      <c r="BB77" s="151">
        <f t="shared" si="87"/>
        <v>0</v>
      </c>
      <c r="BC77" s="301" t="b">
        <f t="shared" si="88"/>
        <v>0</v>
      </c>
      <c r="BD77" s="109"/>
      <c r="BE77" s="313">
        <f t="shared" si="89"/>
        <v>0</v>
      </c>
      <c r="BF77" s="314">
        <f t="shared" si="90"/>
        <v>0</v>
      </c>
      <c r="BG77" s="314">
        <f t="shared" si="91"/>
        <v>0</v>
      </c>
      <c r="BH77" s="315">
        <f t="shared" si="92"/>
        <v>0</v>
      </c>
      <c r="BI77" s="308">
        <f t="shared" si="93"/>
        <v>0</v>
      </c>
      <c r="BJ77" s="308">
        <f t="shared" si="94"/>
        <v>0</v>
      </c>
      <c r="BK77" s="170">
        <f t="shared" si="95"/>
        <v>0</v>
      </c>
      <c r="BL77" s="324">
        <f t="shared" si="96"/>
        <v>0</v>
      </c>
      <c r="BM77" s="324">
        <f t="shared" si="97"/>
        <v>0</v>
      </c>
      <c r="BN77" s="324">
        <f t="shared" si="98"/>
        <v>0</v>
      </c>
      <c r="BO77" s="325">
        <f t="shared" si="99"/>
        <v>0</v>
      </c>
      <c r="BP77" s="326">
        <f t="shared" si="100"/>
        <v>0</v>
      </c>
      <c r="BQ77" s="324">
        <f t="shared" si="101"/>
        <v>0</v>
      </c>
      <c r="BR77" s="324">
        <f t="shared" si="102"/>
        <v>0</v>
      </c>
      <c r="BS77" s="325">
        <f t="shared" si="103"/>
        <v>0</v>
      </c>
      <c r="BT77" s="10"/>
      <c r="BU77" s="288">
        <f t="shared" si="104"/>
        <v>0</v>
      </c>
      <c r="BV77" s="289">
        <f t="shared" si="105"/>
        <v>0</v>
      </c>
      <c r="BW77" s="134">
        <f t="shared" si="106"/>
        <v>0</v>
      </c>
      <c r="BX77" s="294">
        <f t="shared" si="107"/>
        <v>0</v>
      </c>
      <c r="BY77" s="295">
        <f t="shared" si="108"/>
        <v>0</v>
      </c>
      <c r="BZ77" s="10"/>
      <c r="CA77" s="190">
        <f t="shared" si="109"/>
        <v>0</v>
      </c>
      <c r="CB77" s="191">
        <f t="shared" si="110"/>
        <v>0</v>
      </c>
      <c r="CC77" s="99">
        <f t="shared" si="111"/>
        <v>0</v>
      </c>
      <c r="CD77" s="299" t="str">
        <f t="shared" si="112"/>
        <v/>
      </c>
      <c r="CE77" s="305"/>
      <c r="CF77" s="10"/>
      <c r="CG77" s="10"/>
      <c r="CH77" s="10"/>
      <c r="CI77" s="10"/>
      <c r="CJ77" s="10"/>
      <c r="CK77" s="10"/>
      <c r="CL77" s="10"/>
      <c r="CM77" s="10"/>
      <c r="CN77" s="10"/>
      <c r="CO77" s="10"/>
      <c r="CP77" s="10"/>
      <c r="CQ77" s="10"/>
      <c r="CR77" s="10"/>
      <c r="CS77" s="10"/>
      <c r="CT77" s="10"/>
      <c r="CU77" s="10"/>
    </row>
    <row r="78" spans="1:99" ht="13.5" hidden="1" thickBot="1" x14ac:dyDescent="0.25">
      <c r="A78" s="11"/>
      <c r="B78" s="522" t="str">
        <f t="shared" si="41"/>
        <v>-</v>
      </c>
      <c r="C78" s="566">
        <v>46</v>
      </c>
      <c r="D78" s="616"/>
      <c r="E78" s="617"/>
      <c r="F78" s="515"/>
      <c r="G78" s="516"/>
      <c r="H78" s="581"/>
      <c r="I78" s="581"/>
      <c r="J78" s="569"/>
      <c r="K78" s="586"/>
      <c r="L78" s="587"/>
      <c r="M78" s="588"/>
      <c r="N78" s="589"/>
      <c r="O78" s="452" t="str">
        <f t="shared" si="113"/>
        <v/>
      </c>
      <c r="P78" s="453" t="str">
        <f t="shared" si="114"/>
        <v/>
      </c>
      <c r="Q78" s="499">
        <f t="shared" si="115"/>
        <v>0</v>
      </c>
      <c r="R78" s="500">
        <f t="shared" si="116"/>
        <v>0</v>
      </c>
      <c r="S78" s="454">
        <f t="shared" si="117"/>
        <v>0</v>
      </c>
      <c r="T78" s="524" t="str">
        <f t="shared" si="118"/>
        <v/>
      </c>
      <c r="U78" s="11"/>
      <c r="V78" s="12"/>
      <c r="W78" s="10"/>
      <c r="X78" s="10"/>
      <c r="Y78" s="10">
        <v>46</v>
      </c>
      <c r="Z78" s="71" t="str">
        <f t="shared" si="119"/>
        <v>-</v>
      </c>
      <c r="AA78" s="71">
        <f t="shared" si="120"/>
        <v>0</v>
      </c>
      <c r="AB78" s="10"/>
      <c r="AC78" s="134">
        <f t="shared" si="65"/>
        <v>0</v>
      </c>
      <c r="AD78" s="135">
        <f>IF(SUM(AC78:AC$112)=0,0,COUNTA(F78:G78)&gt;0)</f>
        <v>0</v>
      </c>
      <c r="AE78" s="134">
        <f t="shared" si="66"/>
        <v>0</v>
      </c>
      <c r="AF78" s="475">
        <f>IF(SUM(AC78:AC$112)=0,0,AND(AD78=FALSE,AE78=0,SUM(AE79:AE$112)&gt;0))</f>
        <v>0</v>
      </c>
      <c r="AG78" s="152">
        <f t="shared" si="67"/>
        <v>0</v>
      </c>
      <c r="AH78" s="135">
        <f t="shared" si="68"/>
        <v>0</v>
      </c>
      <c r="AI78" s="135">
        <f t="shared" si="69"/>
        <v>0</v>
      </c>
      <c r="AJ78" s="135">
        <f t="shared" si="70"/>
        <v>0</v>
      </c>
      <c r="AK78" s="183">
        <f t="shared" si="71"/>
        <v>0</v>
      </c>
      <c r="AL78" s="135">
        <f t="shared" si="72"/>
        <v>0</v>
      </c>
      <c r="AM78" s="151">
        <f t="shared" si="73"/>
        <v>0</v>
      </c>
      <c r="AN78" s="152">
        <f t="shared" si="74"/>
        <v>0</v>
      </c>
      <c r="AO78" s="135">
        <f t="shared" si="75"/>
        <v>0</v>
      </c>
      <c r="AP78" s="146">
        <f t="shared" si="76"/>
        <v>0</v>
      </c>
      <c r="AQ78" s="152">
        <f t="shared" si="77"/>
        <v>0</v>
      </c>
      <c r="AR78" s="151">
        <f t="shared" si="78"/>
        <v>0</v>
      </c>
      <c r="AS78" s="152">
        <f t="shared" si="79"/>
        <v>0</v>
      </c>
      <c r="AT78" s="135">
        <f t="shared" si="80"/>
        <v>0</v>
      </c>
      <c r="AU78" s="151">
        <f t="shared" si="81"/>
        <v>0</v>
      </c>
      <c r="AV78" s="152">
        <f t="shared" si="82"/>
        <v>0</v>
      </c>
      <c r="AW78" s="135">
        <f t="shared" si="83"/>
        <v>0</v>
      </c>
      <c r="AX78" s="134">
        <f t="shared" si="84"/>
        <v>0</v>
      </c>
      <c r="AY78" s="498" t="str">
        <f t="shared" si="54"/>
        <v/>
      </c>
      <c r="AZ78" s="152">
        <f t="shared" si="85"/>
        <v>0</v>
      </c>
      <c r="BA78" s="135">
        <f t="shared" si="86"/>
        <v>0</v>
      </c>
      <c r="BB78" s="151">
        <f t="shared" si="87"/>
        <v>0</v>
      </c>
      <c r="BC78" s="301" t="b">
        <f t="shared" si="88"/>
        <v>0</v>
      </c>
      <c r="BD78" s="109"/>
      <c r="BE78" s="313">
        <f t="shared" si="89"/>
        <v>0</v>
      </c>
      <c r="BF78" s="314">
        <f t="shared" si="90"/>
        <v>0</v>
      </c>
      <c r="BG78" s="314">
        <f t="shared" si="91"/>
        <v>0</v>
      </c>
      <c r="BH78" s="315">
        <f t="shared" si="92"/>
        <v>0</v>
      </c>
      <c r="BI78" s="308">
        <f t="shared" si="93"/>
        <v>0</v>
      </c>
      <c r="BJ78" s="308">
        <f t="shared" si="94"/>
        <v>0</v>
      </c>
      <c r="BK78" s="170">
        <f t="shared" si="95"/>
        <v>0</v>
      </c>
      <c r="BL78" s="324">
        <f t="shared" si="96"/>
        <v>0</v>
      </c>
      <c r="BM78" s="324">
        <f t="shared" si="97"/>
        <v>0</v>
      </c>
      <c r="BN78" s="324">
        <f t="shared" si="98"/>
        <v>0</v>
      </c>
      <c r="BO78" s="325">
        <f t="shared" si="99"/>
        <v>0</v>
      </c>
      <c r="BP78" s="326">
        <f t="shared" si="100"/>
        <v>0</v>
      </c>
      <c r="BQ78" s="324">
        <f t="shared" si="101"/>
        <v>0</v>
      </c>
      <c r="BR78" s="324">
        <f t="shared" si="102"/>
        <v>0</v>
      </c>
      <c r="BS78" s="325">
        <f t="shared" si="103"/>
        <v>0</v>
      </c>
      <c r="BT78" s="10"/>
      <c r="BU78" s="288">
        <f t="shared" si="104"/>
        <v>0</v>
      </c>
      <c r="BV78" s="289">
        <f t="shared" si="105"/>
        <v>0</v>
      </c>
      <c r="BW78" s="134">
        <f t="shared" si="106"/>
        <v>0</v>
      </c>
      <c r="BX78" s="294">
        <f t="shared" si="107"/>
        <v>0</v>
      </c>
      <c r="BY78" s="295">
        <f t="shared" si="108"/>
        <v>0</v>
      </c>
      <c r="BZ78" s="10"/>
      <c r="CA78" s="190">
        <f t="shared" si="109"/>
        <v>0</v>
      </c>
      <c r="CB78" s="191">
        <f t="shared" si="110"/>
        <v>0</v>
      </c>
      <c r="CC78" s="99">
        <f t="shared" si="111"/>
        <v>0</v>
      </c>
      <c r="CD78" s="299" t="str">
        <f t="shared" si="112"/>
        <v/>
      </c>
      <c r="CE78" s="305"/>
      <c r="CF78" s="10"/>
      <c r="CG78" s="10"/>
      <c r="CH78" s="10"/>
      <c r="CI78" s="10"/>
      <c r="CJ78" s="10"/>
      <c r="CK78" s="10"/>
      <c r="CL78" s="10"/>
      <c r="CM78" s="10"/>
      <c r="CN78" s="10"/>
      <c r="CO78" s="10"/>
      <c r="CP78" s="10"/>
      <c r="CQ78" s="10"/>
      <c r="CR78" s="10"/>
      <c r="CS78" s="10"/>
      <c r="CT78" s="10"/>
      <c r="CU78" s="10"/>
    </row>
    <row r="79" spans="1:99" ht="13.5" hidden="1" thickBot="1" x14ac:dyDescent="0.25">
      <c r="A79" s="11"/>
      <c r="B79" s="522" t="str">
        <f t="shared" si="41"/>
        <v>-</v>
      </c>
      <c r="C79" s="566">
        <v>47</v>
      </c>
      <c r="D79" s="616"/>
      <c r="E79" s="617"/>
      <c r="F79" s="515"/>
      <c r="G79" s="516"/>
      <c r="H79" s="581"/>
      <c r="I79" s="581"/>
      <c r="J79" s="569"/>
      <c r="K79" s="586"/>
      <c r="L79" s="587"/>
      <c r="M79" s="588"/>
      <c r="N79" s="589"/>
      <c r="O79" s="452" t="str">
        <f t="shared" si="113"/>
        <v/>
      </c>
      <c r="P79" s="453" t="str">
        <f t="shared" si="114"/>
        <v/>
      </c>
      <c r="Q79" s="499">
        <f t="shared" si="115"/>
        <v>0</v>
      </c>
      <c r="R79" s="500">
        <f t="shared" si="116"/>
        <v>0</v>
      </c>
      <c r="S79" s="454">
        <f t="shared" si="117"/>
        <v>0</v>
      </c>
      <c r="T79" s="524" t="str">
        <f t="shared" si="118"/>
        <v/>
      </c>
      <c r="U79" s="11"/>
      <c r="V79" s="12"/>
      <c r="W79" s="10"/>
      <c r="X79" s="10"/>
      <c r="Y79" s="10">
        <v>47</v>
      </c>
      <c r="Z79" s="71" t="str">
        <f t="shared" si="119"/>
        <v>-</v>
      </c>
      <c r="AA79" s="71">
        <f t="shared" si="120"/>
        <v>0</v>
      </c>
      <c r="AB79" s="10"/>
      <c r="AC79" s="134">
        <f t="shared" si="65"/>
        <v>0</v>
      </c>
      <c r="AD79" s="135">
        <f>IF(SUM(AC79:AC$112)=0,0,COUNTA(F79:G79)&gt;0)</f>
        <v>0</v>
      </c>
      <c r="AE79" s="134">
        <f t="shared" si="66"/>
        <v>0</v>
      </c>
      <c r="AF79" s="475">
        <f>IF(SUM(AC79:AC$112)=0,0,AND(AD79=FALSE,AE79=0,SUM(AE80:AE$112)&gt;0))</f>
        <v>0</v>
      </c>
      <c r="AG79" s="152">
        <f t="shared" si="67"/>
        <v>0</v>
      </c>
      <c r="AH79" s="135">
        <f t="shared" si="68"/>
        <v>0</v>
      </c>
      <c r="AI79" s="135">
        <f t="shared" si="69"/>
        <v>0</v>
      </c>
      <c r="AJ79" s="135">
        <f t="shared" si="70"/>
        <v>0</v>
      </c>
      <c r="AK79" s="183">
        <f t="shared" si="71"/>
        <v>0</v>
      </c>
      <c r="AL79" s="135">
        <f t="shared" si="72"/>
        <v>0</v>
      </c>
      <c r="AM79" s="151">
        <f t="shared" si="73"/>
        <v>0</v>
      </c>
      <c r="AN79" s="152">
        <f t="shared" si="74"/>
        <v>0</v>
      </c>
      <c r="AO79" s="135">
        <f t="shared" si="75"/>
        <v>0</v>
      </c>
      <c r="AP79" s="146">
        <f t="shared" si="76"/>
        <v>0</v>
      </c>
      <c r="AQ79" s="152">
        <f t="shared" si="77"/>
        <v>0</v>
      </c>
      <c r="AR79" s="151">
        <f t="shared" si="78"/>
        <v>0</v>
      </c>
      <c r="AS79" s="152">
        <f t="shared" si="79"/>
        <v>0</v>
      </c>
      <c r="AT79" s="135">
        <f t="shared" si="80"/>
        <v>0</v>
      </c>
      <c r="AU79" s="151">
        <f t="shared" si="81"/>
        <v>0</v>
      </c>
      <c r="AV79" s="152">
        <f t="shared" si="82"/>
        <v>0</v>
      </c>
      <c r="AW79" s="135">
        <f t="shared" si="83"/>
        <v>0</v>
      </c>
      <c r="AX79" s="134">
        <f t="shared" si="84"/>
        <v>0</v>
      </c>
      <c r="AY79" s="498" t="str">
        <f t="shared" si="54"/>
        <v/>
      </c>
      <c r="AZ79" s="152">
        <f t="shared" si="85"/>
        <v>0</v>
      </c>
      <c r="BA79" s="135">
        <f t="shared" si="86"/>
        <v>0</v>
      </c>
      <c r="BB79" s="151">
        <f t="shared" si="87"/>
        <v>0</v>
      </c>
      <c r="BC79" s="301" t="b">
        <f t="shared" si="88"/>
        <v>0</v>
      </c>
      <c r="BD79" s="109"/>
      <c r="BE79" s="313">
        <f t="shared" si="89"/>
        <v>0</v>
      </c>
      <c r="BF79" s="314">
        <f t="shared" si="90"/>
        <v>0</v>
      </c>
      <c r="BG79" s="314">
        <f t="shared" si="91"/>
        <v>0</v>
      </c>
      <c r="BH79" s="315">
        <f t="shared" si="92"/>
        <v>0</v>
      </c>
      <c r="BI79" s="308">
        <f t="shared" si="93"/>
        <v>0</v>
      </c>
      <c r="BJ79" s="308">
        <f t="shared" si="94"/>
        <v>0</v>
      </c>
      <c r="BK79" s="170">
        <f t="shared" si="95"/>
        <v>0</v>
      </c>
      <c r="BL79" s="324">
        <f t="shared" si="96"/>
        <v>0</v>
      </c>
      <c r="BM79" s="324">
        <f t="shared" si="97"/>
        <v>0</v>
      </c>
      <c r="BN79" s="324">
        <f t="shared" si="98"/>
        <v>0</v>
      </c>
      <c r="BO79" s="325">
        <f t="shared" si="99"/>
        <v>0</v>
      </c>
      <c r="BP79" s="326">
        <f t="shared" si="100"/>
        <v>0</v>
      </c>
      <c r="BQ79" s="324">
        <f t="shared" si="101"/>
        <v>0</v>
      </c>
      <c r="BR79" s="324">
        <f t="shared" si="102"/>
        <v>0</v>
      </c>
      <c r="BS79" s="325">
        <f t="shared" si="103"/>
        <v>0</v>
      </c>
      <c r="BT79" s="10"/>
      <c r="BU79" s="288">
        <f t="shared" si="104"/>
        <v>0</v>
      </c>
      <c r="BV79" s="289">
        <f t="shared" si="105"/>
        <v>0</v>
      </c>
      <c r="BW79" s="134">
        <f t="shared" si="106"/>
        <v>0</v>
      </c>
      <c r="BX79" s="294">
        <f t="shared" si="107"/>
        <v>0</v>
      </c>
      <c r="BY79" s="295">
        <f t="shared" si="108"/>
        <v>0</v>
      </c>
      <c r="BZ79" s="10"/>
      <c r="CA79" s="190">
        <f t="shared" si="109"/>
        <v>0</v>
      </c>
      <c r="CB79" s="191">
        <f t="shared" si="110"/>
        <v>0</v>
      </c>
      <c r="CC79" s="99">
        <f t="shared" si="111"/>
        <v>0</v>
      </c>
      <c r="CD79" s="299" t="str">
        <f t="shared" si="112"/>
        <v/>
      </c>
      <c r="CE79" s="305"/>
      <c r="CF79" s="10"/>
      <c r="CG79" s="10"/>
      <c r="CH79" s="10"/>
      <c r="CI79" s="10"/>
      <c r="CJ79" s="10"/>
      <c r="CK79" s="10"/>
      <c r="CL79" s="10"/>
      <c r="CM79" s="10"/>
      <c r="CN79" s="10"/>
      <c r="CO79" s="10"/>
      <c r="CP79" s="10"/>
      <c r="CQ79" s="10"/>
      <c r="CR79" s="10"/>
      <c r="CS79" s="10"/>
      <c r="CT79" s="10"/>
      <c r="CU79" s="10"/>
    </row>
    <row r="80" spans="1:99" ht="13.5" hidden="1" thickBot="1" x14ac:dyDescent="0.25">
      <c r="A80" s="11"/>
      <c r="B80" s="522" t="str">
        <f t="shared" si="41"/>
        <v>-</v>
      </c>
      <c r="C80" s="566">
        <v>48</v>
      </c>
      <c r="D80" s="616"/>
      <c r="E80" s="617"/>
      <c r="F80" s="515"/>
      <c r="G80" s="516"/>
      <c r="H80" s="581"/>
      <c r="I80" s="581"/>
      <c r="J80" s="569"/>
      <c r="K80" s="586"/>
      <c r="L80" s="587"/>
      <c r="M80" s="588"/>
      <c r="N80" s="589"/>
      <c r="O80" s="452" t="str">
        <f t="shared" si="113"/>
        <v/>
      </c>
      <c r="P80" s="453" t="str">
        <f t="shared" si="114"/>
        <v/>
      </c>
      <c r="Q80" s="499">
        <f t="shared" si="115"/>
        <v>0</v>
      </c>
      <c r="R80" s="500">
        <f t="shared" si="116"/>
        <v>0</v>
      </c>
      <c r="S80" s="454">
        <f t="shared" si="117"/>
        <v>0</v>
      </c>
      <c r="T80" s="524" t="str">
        <f t="shared" si="118"/>
        <v/>
      </c>
      <c r="U80" s="11"/>
      <c r="V80" s="12"/>
      <c r="W80" s="10"/>
      <c r="X80" s="10"/>
      <c r="Y80" s="10">
        <v>48</v>
      </c>
      <c r="Z80" s="71" t="str">
        <f t="shared" si="119"/>
        <v>-</v>
      </c>
      <c r="AA80" s="71">
        <f t="shared" si="120"/>
        <v>0</v>
      </c>
      <c r="AB80" s="10"/>
      <c r="AC80" s="134">
        <f t="shared" si="65"/>
        <v>0</v>
      </c>
      <c r="AD80" s="135">
        <f>IF(SUM(AC80:AC$112)=0,0,COUNTA(F80:G80)&gt;0)</f>
        <v>0</v>
      </c>
      <c r="AE80" s="134">
        <f t="shared" si="66"/>
        <v>0</v>
      </c>
      <c r="AF80" s="475">
        <f>IF(SUM(AC80:AC$112)=0,0,AND(AD80=FALSE,AE80=0,SUM(AE81:AE$112)&gt;0))</f>
        <v>0</v>
      </c>
      <c r="AG80" s="152">
        <f t="shared" si="67"/>
        <v>0</v>
      </c>
      <c r="AH80" s="135">
        <f t="shared" si="68"/>
        <v>0</v>
      </c>
      <c r="AI80" s="135">
        <f t="shared" si="69"/>
        <v>0</v>
      </c>
      <c r="AJ80" s="135">
        <f t="shared" si="70"/>
        <v>0</v>
      </c>
      <c r="AK80" s="183">
        <f t="shared" si="71"/>
        <v>0</v>
      </c>
      <c r="AL80" s="135">
        <f t="shared" si="72"/>
        <v>0</v>
      </c>
      <c r="AM80" s="151">
        <f t="shared" si="73"/>
        <v>0</v>
      </c>
      <c r="AN80" s="152">
        <f t="shared" si="74"/>
        <v>0</v>
      </c>
      <c r="AO80" s="135">
        <f t="shared" si="75"/>
        <v>0</v>
      </c>
      <c r="AP80" s="146">
        <f t="shared" si="76"/>
        <v>0</v>
      </c>
      <c r="AQ80" s="152">
        <f t="shared" si="77"/>
        <v>0</v>
      </c>
      <c r="AR80" s="151">
        <f t="shared" si="78"/>
        <v>0</v>
      </c>
      <c r="AS80" s="152">
        <f t="shared" si="79"/>
        <v>0</v>
      </c>
      <c r="AT80" s="135">
        <f t="shared" si="80"/>
        <v>0</v>
      </c>
      <c r="AU80" s="151">
        <f t="shared" si="81"/>
        <v>0</v>
      </c>
      <c r="AV80" s="152">
        <f t="shared" si="82"/>
        <v>0</v>
      </c>
      <c r="AW80" s="135">
        <f t="shared" si="83"/>
        <v>0</v>
      </c>
      <c r="AX80" s="134">
        <f t="shared" si="84"/>
        <v>0</v>
      </c>
      <c r="AY80" s="498" t="str">
        <f t="shared" si="54"/>
        <v/>
      </c>
      <c r="AZ80" s="152">
        <f t="shared" si="85"/>
        <v>0</v>
      </c>
      <c r="BA80" s="135">
        <f t="shared" si="86"/>
        <v>0</v>
      </c>
      <c r="BB80" s="151">
        <f t="shared" si="87"/>
        <v>0</v>
      </c>
      <c r="BC80" s="301" t="b">
        <f t="shared" si="88"/>
        <v>0</v>
      </c>
      <c r="BD80" s="109"/>
      <c r="BE80" s="313">
        <f t="shared" si="89"/>
        <v>0</v>
      </c>
      <c r="BF80" s="314">
        <f t="shared" si="90"/>
        <v>0</v>
      </c>
      <c r="BG80" s="314">
        <f t="shared" si="91"/>
        <v>0</v>
      </c>
      <c r="BH80" s="315">
        <f t="shared" si="92"/>
        <v>0</v>
      </c>
      <c r="BI80" s="308">
        <f t="shared" si="93"/>
        <v>0</v>
      </c>
      <c r="BJ80" s="308">
        <f t="shared" si="94"/>
        <v>0</v>
      </c>
      <c r="BK80" s="170">
        <f t="shared" si="95"/>
        <v>0</v>
      </c>
      <c r="BL80" s="324">
        <f t="shared" si="96"/>
        <v>0</v>
      </c>
      <c r="BM80" s="324">
        <f t="shared" si="97"/>
        <v>0</v>
      </c>
      <c r="BN80" s="324">
        <f t="shared" si="98"/>
        <v>0</v>
      </c>
      <c r="BO80" s="325">
        <f t="shared" si="99"/>
        <v>0</v>
      </c>
      <c r="BP80" s="326">
        <f t="shared" si="100"/>
        <v>0</v>
      </c>
      <c r="BQ80" s="324">
        <f t="shared" si="101"/>
        <v>0</v>
      </c>
      <c r="BR80" s="324">
        <f t="shared" si="102"/>
        <v>0</v>
      </c>
      <c r="BS80" s="325">
        <f t="shared" si="103"/>
        <v>0</v>
      </c>
      <c r="BT80" s="10"/>
      <c r="BU80" s="288">
        <f t="shared" si="104"/>
        <v>0</v>
      </c>
      <c r="BV80" s="289">
        <f t="shared" si="105"/>
        <v>0</v>
      </c>
      <c r="BW80" s="134">
        <f t="shared" si="106"/>
        <v>0</v>
      </c>
      <c r="BX80" s="294">
        <f t="shared" si="107"/>
        <v>0</v>
      </c>
      <c r="BY80" s="295">
        <f t="shared" si="108"/>
        <v>0</v>
      </c>
      <c r="BZ80" s="10"/>
      <c r="CA80" s="190">
        <f t="shared" si="109"/>
        <v>0</v>
      </c>
      <c r="CB80" s="191">
        <f t="shared" si="110"/>
        <v>0</v>
      </c>
      <c r="CC80" s="99">
        <f t="shared" si="111"/>
        <v>0</v>
      </c>
      <c r="CD80" s="299" t="str">
        <f t="shared" si="112"/>
        <v/>
      </c>
      <c r="CE80" s="305"/>
      <c r="CF80" s="10"/>
      <c r="CG80" s="10"/>
      <c r="CH80" s="10"/>
      <c r="CI80" s="10"/>
      <c r="CJ80" s="10"/>
      <c r="CK80" s="10"/>
      <c r="CL80" s="10"/>
      <c r="CM80" s="10"/>
      <c r="CN80" s="10"/>
      <c r="CO80" s="10"/>
      <c r="CP80" s="10"/>
      <c r="CQ80" s="10"/>
      <c r="CR80" s="10"/>
      <c r="CS80" s="10"/>
      <c r="CT80" s="10"/>
      <c r="CU80" s="10"/>
    </row>
    <row r="81" spans="1:99" ht="13.5" hidden="1" thickBot="1" x14ac:dyDescent="0.25">
      <c r="A81" s="11"/>
      <c r="B81" s="522" t="str">
        <f t="shared" si="41"/>
        <v>-</v>
      </c>
      <c r="C81" s="566">
        <v>49</v>
      </c>
      <c r="D81" s="616"/>
      <c r="E81" s="617"/>
      <c r="F81" s="515"/>
      <c r="G81" s="516"/>
      <c r="H81" s="581"/>
      <c r="I81" s="581"/>
      <c r="J81" s="569"/>
      <c r="K81" s="586"/>
      <c r="L81" s="587"/>
      <c r="M81" s="588"/>
      <c r="N81" s="589"/>
      <c r="O81" s="452" t="str">
        <f t="shared" si="113"/>
        <v/>
      </c>
      <c r="P81" s="453" t="str">
        <f t="shared" si="114"/>
        <v/>
      </c>
      <c r="Q81" s="499">
        <f t="shared" si="115"/>
        <v>0</v>
      </c>
      <c r="R81" s="500">
        <f t="shared" si="116"/>
        <v>0</v>
      </c>
      <c r="S81" s="454">
        <f t="shared" si="117"/>
        <v>0</v>
      </c>
      <c r="T81" s="524" t="str">
        <f t="shared" si="118"/>
        <v/>
      </c>
      <c r="U81" s="11"/>
      <c r="V81" s="12"/>
      <c r="W81" s="10"/>
      <c r="X81" s="10"/>
      <c r="Y81" s="10">
        <v>49</v>
      </c>
      <c r="Z81" s="71" t="str">
        <f t="shared" si="119"/>
        <v>-</v>
      </c>
      <c r="AA81" s="71">
        <f t="shared" si="120"/>
        <v>0</v>
      </c>
      <c r="AB81" s="10"/>
      <c r="AC81" s="134">
        <f t="shared" si="65"/>
        <v>0</v>
      </c>
      <c r="AD81" s="135">
        <f>IF(SUM(AC81:AC$112)=0,0,COUNTA(F81:G81)&gt;0)</f>
        <v>0</v>
      </c>
      <c r="AE81" s="134">
        <f t="shared" si="66"/>
        <v>0</v>
      </c>
      <c r="AF81" s="475">
        <f>IF(SUM(AC81:AC$112)=0,0,AND(AD81=FALSE,AE81=0,SUM(AE82:AE$112)&gt;0))</f>
        <v>0</v>
      </c>
      <c r="AG81" s="152">
        <f t="shared" si="67"/>
        <v>0</v>
      </c>
      <c r="AH81" s="135">
        <f t="shared" si="68"/>
        <v>0</v>
      </c>
      <c r="AI81" s="135">
        <f t="shared" si="69"/>
        <v>0</v>
      </c>
      <c r="AJ81" s="135">
        <f t="shared" si="70"/>
        <v>0</v>
      </c>
      <c r="AK81" s="183">
        <f t="shared" si="71"/>
        <v>0</v>
      </c>
      <c r="AL81" s="135">
        <f t="shared" si="72"/>
        <v>0</v>
      </c>
      <c r="AM81" s="151">
        <f t="shared" si="73"/>
        <v>0</v>
      </c>
      <c r="AN81" s="152">
        <f t="shared" si="74"/>
        <v>0</v>
      </c>
      <c r="AO81" s="135">
        <f t="shared" si="75"/>
        <v>0</v>
      </c>
      <c r="AP81" s="146">
        <f t="shared" si="76"/>
        <v>0</v>
      </c>
      <c r="AQ81" s="152">
        <f t="shared" si="77"/>
        <v>0</v>
      </c>
      <c r="AR81" s="151">
        <f t="shared" si="78"/>
        <v>0</v>
      </c>
      <c r="AS81" s="152">
        <f t="shared" si="79"/>
        <v>0</v>
      </c>
      <c r="AT81" s="135">
        <f t="shared" si="80"/>
        <v>0</v>
      </c>
      <c r="AU81" s="151">
        <f t="shared" si="81"/>
        <v>0</v>
      </c>
      <c r="AV81" s="152">
        <f t="shared" si="82"/>
        <v>0</v>
      </c>
      <c r="AW81" s="135">
        <f t="shared" si="83"/>
        <v>0</v>
      </c>
      <c r="AX81" s="134">
        <f t="shared" si="84"/>
        <v>0</v>
      </c>
      <c r="AY81" s="498" t="str">
        <f t="shared" si="54"/>
        <v/>
      </c>
      <c r="AZ81" s="152">
        <f t="shared" si="85"/>
        <v>0</v>
      </c>
      <c r="BA81" s="135">
        <f t="shared" si="86"/>
        <v>0</v>
      </c>
      <c r="BB81" s="151">
        <f t="shared" si="87"/>
        <v>0</v>
      </c>
      <c r="BC81" s="301" t="b">
        <f t="shared" si="88"/>
        <v>0</v>
      </c>
      <c r="BD81" s="109"/>
      <c r="BE81" s="313">
        <f t="shared" si="89"/>
        <v>0</v>
      </c>
      <c r="BF81" s="314">
        <f t="shared" si="90"/>
        <v>0</v>
      </c>
      <c r="BG81" s="314">
        <f t="shared" si="91"/>
        <v>0</v>
      </c>
      <c r="BH81" s="315">
        <f t="shared" si="92"/>
        <v>0</v>
      </c>
      <c r="BI81" s="308">
        <f t="shared" si="93"/>
        <v>0</v>
      </c>
      <c r="BJ81" s="308">
        <f t="shared" si="94"/>
        <v>0</v>
      </c>
      <c r="BK81" s="170">
        <f t="shared" si="95"/>
        <v>0</v>
      </c>
      <c r="BL81" s="324">
        <f t="shared" si="96"/>
        <v>0</v>
      </c>
      <c r="BM81" s="324">
        <f t="shared" si="97"/>
        <v>0</v>
      </c>
      <c r="BN81" s="324">
        <f t="shared" si="98"/>
        <v>0</v>
      </c>
      <c r="BO81" s="325">
        <f t="shared" si="99"/>
        <v>0</v>
      </c>
      <c r="BP81" s="326">
        <f t="shared" si="100"/>
        <v>0</v>
      </c>
      <c r="BQ81" s="324">
        <f t="shared" si="101"/>
        <v>0</v>
      </c>
      <c r="BR81" s="324">
        <f t="shared" si="102"/>
        <v>0</v>
      </c>
      <c r="BS81" s="325">
        <f t="shared" si="103"/>
        <v>0</v>
      </c>
      <c r="BT81" s="10"/>
      <c r="BU81" s="288">
        <f t="shared" si="104"/>
        <v>0</v>
      </c>
      <c r="BV81" s="289">
        <f t="shared" si="105"/>
        <v>0</v>
      </c>
      <c r="BW81" s="134">
        <f t="shared" si="106"/>
        <v>0</v>
      </c>
      <c r="BX81" s="294">
        <f t="shared" si="107"/>
        <v>0</v>
      </c>
      <c r="BY81" s="295">
        <f t="shared" si="108"/>
        <v>0</v>
      </c>
      <c r="BZ81" s="10"/>
      <c r="CA81" s="190">
        <f t="shared" si="109"/>
        <v>0</v>
      </c>
      <c r="CB81" s="191">
        <f t="shared" si="110"/>
        <v>0</v>
      </c>
      <c r="CC81" s="99">
        <f t="shared" si="111"/>
        <v>0</v>
      </c>
      <c r="CD81" s="299" t="str">
        <f t="shared" si="112"/>
        <v/>
      </c>
      <c r="CE81" s="305"/>
      <c r="CF81" s="10"/>
      <c r="CG81" s="10"/>
      <c r="CH81" s="10"/>
      <c r="CI81" s="10"/>
      <c r="CJ81" s="10"/>
      <c r="CK81" s="10"/>
      <c r="CL81" s="10"/>
      <c r="CM81" s="10"/>
      <c r="CN81" s="10"/>
      <c r="CO81" s="10"/>
      <c r="CP81" s="10"/>
      <c r="CQ81" s="10"/>
      <c r="CR81" s="10"/>
      <c r="CS81" s="10"/>
      <c r="CT81" s="10"/>
      <c r="CU81" s="10"/>
    </row>
    <row r="82" spans="1:99" ht="13.5" hidden="1" thickBot="1" x14ac:dyDescent="0.25">
      <c r="A82" s="11"/>
      <c r="B82" s="522" t="str">
        <f t="shared" si="41"/>
        <v>-</v>
      </c>
      <c r="C82" s="566">
        <v>50</v>
      </c>
      <c r="D82" s="616"/>
      <c r="E82" s="617"/>
      <c r="F82" s="515"/>
      <c r="G82" s="516"/>
      <c r="H82" s="581"/>
      <c r="I82" s="581"/>
      <c r="J82" s="569"/>
      <c r="K82" s="586"/>
      <c r="L82" s="587"/>
      <c r="M82" s="588"/>
      <c r="N82" s="589"/>
      <c r="O82" s="452" t="str">
        <f t="shared" si="113"/>
        <v/>
      </c>
      <c r="P82" s="453" t="str">
        <f t="shared" si="114"/>
        <v/>
      </c>
      <c r="Q82" s="499">
        <f t="shared" si="115"/>
        <v>0</v>
      </c>
      <c r="R82" s="500">
        <f t="shared" si="116"/>
        <v>0</v>
      </c>
      <c r="S82" s="454">
        <f t="shared" si="117"/>
        <v>0</v>
      </c>
      <c r="T82" s="524" t="str">
        <f t="shared" si="118"/>
        <v/>
      </c>
      <c r="U82" s="11"/>
      <c r="V82" s="12"/>
      <c r="W82" s="10"/>
      <c r="X82" s="10"/>
      <c r="Y82" s="10">
        <v>50</v>
      </c>
      <c r="Z82" s="71" t="str">
        <f t="shared" si="119"/>
        <v>-</v>
      </c>
      <c r="AA82" s="71">
        <f t="shared" si="120"/>
        <v>0</v>
      </c>
      <c r="AB82" s="10"/>
      <c r="AC82" s="134">
        <f t="shared" si="65"/>
        <v>0</v>
      </c>
      <c r="AD82" s="135">
        <f>IF(SUM(AC82:AC$112)=0,0,COUNTA(F82:G82)&gt;0)</f>
        <v>0</v>
      </c>
      <c r="AE82" s="134">
        <f t="shared" si="66"/>
        <v>0</v>
      </c>
      <c r="AF82" s="475">
        <f>IF(SUM(AC82:AC$112)=0,0,AND(AD82=FALSE,AE82=0,SUM(AE83:AE$112)&gt;0))</f>
        <v>0</v>
      </c>
      <c r="AG82" s="152">
        <f t="shared" si="67"/>
        <v>0</v>
      </c>
      <c r="AH82" s="135">
        <f t="shared" si="68"/>
        <v>0</v>
      </c>
      <c r="AI82" s="135">
        <f t="shared" si="69"/>
        <v>0</v>
      </c>
      <c r="AJ82" s="135">
        <f t="shared" si="70"/>
        <v>0</v>
      </c>
      <c r="AK82" s="183">
        <f t="shared" si="71"/>
        <v>0</v>
      </c>
      <c r="AL82" s="135">
        <f t="shared" si="72"/>
        <v>0</v>
      </c>
      <c r="AM82" s="151">
        <f t="shared" si="73"/>
        <v>0</v>
      </c>
      <c r="AN82" s="152">
        <f t="shared" si="74"/>
        <v>0</v>
      </c>
      <c r="AO82" s="135">
        <f t="shared" si="75"/>
        <v>0</v>
      </c>
      <c r="AP82" s="146">
        <f t="shared" si="76"/>
        <v>0</v>
      </c>
      <c r="AQ82" s="152">
        <f t="shared" si="77"/>
        <v>0</v>
      </c>
      <c r="AR82" s="151">
        <f t="shared" si="78"/>
        <v>0</v>
      </c>
      <c r="AS82" s="152">
        <f t="shared" si="79"/>
        <v>0</v>
      </c>
      <c r="AT82" s="135">
        <f t="shared" si="80"/>
        <v>0</v>
      </c>
      <c r="AU82" s="151">
        <f t="shared" si="81"/>
        <v>0</v>
      </c>
      <c r="AV82" s="152">
        <f t="shared" si="82"/>
        <v>0</v>
      </c>
      <c r="AW82" s="135">
        <f t="shared" si="83"/>
        <v>0</v>
      </c>
      <c r="AX82" s="134">
        <f t="shared" si="84"/>
        <v>0</v>
      </c>
      <c r="AY82" s="498" t="str">
        <f t="shared" si="54"/>
        <v/>
      </c>
      <c r="AZ82" s="152">
        <f t="shared" si="85"/>
        <v>0</v>
      </c>
      <c r="BA82" s="135">
        <f t="shared" si="86"/>
        <v>0</v>
      </c>
      <c r="BB82" s="151">
        <f t="shared" si="87"/>
        <v>0</v>
      </c>
      <c r="BC82" s="301" t="b">
        <f t="shared" si="88"/>
        <v>0</v>
      </c>
      <c r="BD82" s="109"/>
      <c r="BE82" s="313">
        <f t="shared" si="89"/>
        <v>0</v>
      </c>
      <c r="BF82" s="314">
        <f t="shared" si="90"/>
        <v>0</v>
      </c>
      <c r="BG82" s="314">
        <f t="shared" si="91"/>
        <v>0</v>
      </c>
      <c r="BH82" s="315">
        <f t="shared" si="92"/>
        <v>0</v>
      </c>
      <c r="BI82" s="308">
        <f t="shared" si="93"/>
        <v>0</v>
      </c>
      <c r="BJ82" s="308">
        <f t="shared" si="94"/>
        <v>0</v>
      </c>
      <c r="BK82" s="170">
        <f t="shared" si="95"/>
        <v>0</v>
      </c>
      <c r="BL82" s="324">
        <f t="shared" si="96"/>
        <v>0</v>
      </c>
      <c r="BM82" s="324">
        <f t="shared" si="97"/>
        <v>0</v>
      </c>
      <c r="BN82" s="324">
        <f t="shared" si="98"/>
        <v>0</v>
      </c>
      <c r="BO82" s="325">
        <f t="shared" si="99"/>
        <v>0</v>
      </c>
      <c r="BP82" s="326">
        <f t="shared" si="100"/>
        <v>0</v>
      </c>
      <c r="BQ82" s="324">
        <f t="shared" si="101"/>
        <v>0</v>
      </c>
      <c r="BR82" s="324">
        <f t="shared" si="102"/>
        <v>0</v>
      </c>
      <c r="BS82" s="325">
        <f t="shared" si="103"/>
        <v>0</v>
      </c>
      <c r="BT82" s="10"/>
      <c r="BU82" s="288">
        <f t="shared" si="104"/>
        <v>0</v>
      </c>
      <c r="BV82" s="289">
        <f t="shared" si="105"/>
        <v>0</v>
      </c>
      <c r="BW82" s="134">
        <f t="shared" si="106"/>
        <v>0</v>
      </c>
      <c r="BX82" s="294">
        <f t="shared" si="107"/>
        <v>0</v>
      </c>
      <c r="BY82" s="295">
        <f t="shared" si="108"/>
        <v>0</v>
      </c>
      <c r="BZ82" s="10"/>
      <c r="CA82" s="190">
        <f t="shared" si="109"/>
        <v>0</v>
      </c>
      <c r="CB82" s="191">
        <f t="shared" si="110"/>
        <v>0</v>
      </c>
      <c r="CC82" s="99">
        <f t="shared" si="111"/>
        <v>0</v>
      </c>
      <c r="CD82" s="299" t="str">
        <f t="shared" si="112"/>
        <v/>
      </c>
      <c r="CE82" s="305"/>
      <c r="CF82" s="10"/>
      <c r="CG82" s="10"/>
      <c r="CH82" s="10"/>
      <c r="CI82" s="10"/>
      <c r="CJ82" s="10"/>
      <c r="CK82" s="10"/>
      <c r="CL82" s="10"/>
      <c r="CM82" s="10"/>
      <c r="CN82" s="10"/>
      <c r="CO82" s="10"/>
      <c r="CP82" s="10"/>
      <c r="CQ82" s="10"/>
      <c r="CR82" s="10"/>
      <c r="CS82" s="10"/>
      <c r="CT82" s="10"/>
      <c r="CU82" s="10"/>
    </row>
    <row r="83" spans="1:99" ht="13.5" hidden="1" thickBot="1" x14ac:dyDescent="0.25">
      <c r="A83" s="11"/>
      <c r="B83" s="522" t="str">
        <f t="shared" si="41"/>
        <v>-</v>
      </c>
      <c r="C83" s="566">
        <v>51</v>
      </c>
      <c r="D83" s="616"/>
      <c r="E83" s="617"/>
      <c r="F83" s="515"/>
      <c r="G83" s="516"/>
      <c r="H83" s="581"/>
      <c r="I83" s="581"/>
      <c r="J83" s="569"/>
      <c r="K83" s="586"/>
      <c r="L83" s="587"/>
      <c r="M83" s="588"/>
      <c r="N83" s="589"/>
      <c r="O83" s="452" t="str">
        <f t="shared" si="113"/>
        <v/>
      </c>
      <c r="P83" s="453" t="str">
        <f t="shared" si="114"/>
        <v/>
      </c>
      <c r="Q83" s="499">
        <f t="shared" si="115"/>
        <v>0</v>
      </c>
      <c r="R83" s="500">
        <f t="shared" si="116"/>
        <v>0</v>
      </c>
      <c r="S83" s="454">
        <f t="shared" si="117"/>
        <v>0</v>
      </c>
      <c r="T83" s="524" t="str">
        <f t="shared" si="118"/>
        <v/>
      </c>
      <c r="U83" s="11"/>
      <c r="V83" s="12"/>
      <c r="W83" s="10"/>
      <c r="X83" s="10"/>
      <c r="Y83" s="10">
        <v>51</v>
      </c>
      <c r="Z83" s="71" t="str">
        <f t="shared" si="119"/>
        <v>-</v>
      </c>
      <c r="AA83" s="71">
        <f t="shared" si="120"/>
        <v>0</v>
      </c>
      <c r="AB83" s="10"/>
      <c r="AC83" s="134">
        <f t="shared" si="65"/>
        <v>0</v>
      </c>
      <c r="AD83" s="135">
        <f>IF(SUM(AC83:AC$112)=0,0,COUNTA(F83:G83)&gt;0)</f>
        <v>0</v>
      </c>
      <c r="AE83" s="134">
        <f t="shared" si="66"/>
        <v>0</v>
      </c>
      <c r="AF83" s="475">
        <f>IF(SUM(AC83:AC$112)=0,0,AND(AD83=FALSE,AE83=0,SUM(AE84:AE$112)&gt;0))</f>
        <v>0</v>
      </c>
      <c r="AG83" s="152">
        <f t="shared" si="67"/>
        <v>0</v>
      </c>
      <c r="AH83" s="135">
        <f t="shared" si="68"/>
        <v>0</v>
      </c>
      <c r="AI83" s="135">
        <f t="shared" si="69"/>
        <v>0</v>
      </c>
      <c r="AJ83" s="135">
        <f t="shared" si="70"/>
        <v>0</v>
      </c>
      <c r="AK83" s="183">
        <f t="shared" si="71"/>
        <v>0</v>
      </c>
      <c r="AL83" s="135">
        <f t="shared" si="72"/>
        <v>0</v>
      </c>
      <c r="AM83" s="151">
        <f t="shared" si="73"/>
        <v>0</v>
      </c>
      <c r="AN83" s="152">
        <f t="shared" si="74"/>
        <v>0</v>
      </c>
      <c r="AO83" s="135">
        <f t="shared" si="75"/>
        <v>0</v>
      </c>
      <c r="AP83" s="146">
        <f t="shared" si="76"/>
        <v>0</v>
      </c>
      <c r="AQ83" s="152">
        <f t="shared" si="77"/>
        <v>0</v>
      </c>
      <c r="AR83" s="151">
        <f t="shared" si="78"/>
        <v>0</v>
      </c>
      <c r="AS83" s="152">
        <f t="shared" si="79"/>
        <v>0</v>
      </c>
      <c r="AT83" s="135">
        <f t="shared" si="80"/>
        <v>0</v>
      </c>
      <c r="AU83" s="151">
        <f t="shared" si="81"/>
        <v>0</v>
      </c>
      <c r="AV83" s="152">
        <f t="shared" si="82"/>
        <v>0</v>
      </c>
      <c r="AW83" s="135">
        <f t="shared" si="83"/>
        <v>0</v>
      </c>
      <c r="AX83" s="134">
        <f t="shared" si="84"/>
        <v>0</v>
      </c>
      <c r="AY83" s="498" t="str">
        <f t="shared" si="54"/>
        <v/>
      </c>
      <c r="AZ83" s="152">
        <f t="shared" si="85"/>
        <v>0</v>
      </c>
      <c r="BA83" s="135">
        <f t="shared" si="86"/>
        <v>0</v>
      </c>
      <c r="BB83" s="151">
        <f t="shared" si="87"/>
        <v>0</v>
      </c>
      <c r="BC83" s="301" t="b">
        <f t="shared" si="88"/>
        <v>0</v>
      </c>
      <c r="BD83" s="109"/>
      <c r="BE83" s="313">
        <f t="shared" si="89"/>
        <v>0</v>
      </c>
      <c r="BF83" s="314">
        <f t="shared" si="90"/>
        <v>0</v>
      </c>
      <c r="BG83" s="314">
        <f t="shared" si="91"/>
        <v>0</v>
      </c>
      <c r="BH83" s="315">
        <f t="shared" si="92"/>
        <v>0</v>
      </c>
      <c r="BI83" s="308">
        <f t="shared" si="93"/>
        <v>0</v>
      </c>
      <c r="BJ83" s="308">
        <f t="shared" si="94"/>
        <v>0</v>
      </c>
      <c r="BK83" s="170">
        <f t="shared" si="95"/>
        <v>0</v>
      </c>
      <c r="BL83" s="324">
        <f t="shared" si="96"/>
        <v>0</v>
      </c>
      <c r="BM83" s="324">
        <f t="shared" si="97"/>
        <v>0</v>
      </c>
      <c r="BN83" s="324">
        <f t="shared" si="98"/>
        <v>0</v>
      </c>
      <c r="BO83" s="325">
        <f t="shared" si="99"/>
        <v>0</v>
      </c>
      <c r="BP83" s="326">
        <f t="shared" si="100"/>
        <v>0</v>
      </c>
      <c r="BQ83" s="324">
        <f t="shared" si="101"/>
        <v>0</v>
      </c>
      <c r="BR83" s="324">
        <f t="shared" si="102"/>
        <v>0</v>
      </c>
      <c r="BS83" s="325">
        <f t="shared" si="103"/>
        <v>0</v>
      </c>
      <c r="BT83" s="10"/>
      <c r="BU83" s="288">
        <f t="shared" si="104"/>
        <v>0</v>
      </c>
      <c r="BV83" s="289">
        <f t="shared" si="105"/>
        <v>0</v>
      </c>
      <c r="BW83" s="134">
        <f t="shared" si="106"/>
        <v>0</v>
      </c>
      <c r="BX83" s="294">
        <f t="shared" si="107"/>
        <v>0</v>
      </c>
      <c r="BY83" s="295">
        <f t="shared" si="108"/>
        <v>0</v>
      </c>
      <c r="BZ83" s="10"/>
      <c r="CA83" s="190">
        <f t="shared" si="109"/>
        <v>0</v>
      </c>
      <c r="CB83" s="191">
        <f t="shared" si="110"/>
        <v>0</v>
      </c>
      <c r="CC83" s="99">
        <f t="shared" si="111"/>
        <v>0</v>
      </c>
      <c r="CD83" s="299" t="str">
        <f t="shared" si="112"/>
        <v/>
      </c>
      <c r="CE83" s="305"/>
      <c r="CF83" s="10"/>
      <c r="CG83" s="10"/>
      <c r="CH83" s="10"/>
      <c r="CI83" s="10"/>
      <c r="CJ83" s="10"/>
      <c r="CK83" s="10"/>
      <c r="CL83" s="10"/>
      <c r="CM83" s="10"/>
      <c r="CN83" s="10"/>
      <c r="CO83" s="10"/>
      <c r="CP83" s="10"/>
      <c r="CQ83" s="10"/>
      <c r="CR83" s="10"/>
      <c r="CS83" s="10"/>
      <c r="CT83" s="10"/>
      <c r="CU83" s="10"/>
    </row>
    <row r="84" spans="1:99" ht="13.5" hidden="1" thickBot="1" x14ac:dyDescent="0.25">
      <c r="A84" s="11"/>
      <c r="B84" s="522" t="str">
        <f t="shared" si="41"/>
        <v>-</v>
      </c>
      <c r="C84" s="566">
        <v>52</v>
      </c>
      <c r="D84" s="616"/>
      <c r="E84" s="617"/>
      <c r="F84" s="515"/>
      <c r="G84" s="516"/>
      <c r="H84" s="581"/>
      <c r="I84" s="581"/>
      <c r="J84" s="569"/>
      <c r="K84" s="586"/>
      <c r="L84" s="587"/>
      <c r="M84" s="588"/>
      <c r="N84" s="589"/>
      <c r="O84" s="452" t="str">
        <f t="shared" si="113"/>
        <v/>
      </c>
      <c r="P84" s="453" t="str">
        <f t="shared" si="114"/>
        <v/>
      </c>
      <c r="Q84" s="499">
        <f t="shared" si="115"/>
        <v>0</v>
      </c>
      <c r="R84" s="500">
        <f t="shared" si="116"/>
        <v>0</v>
      </c>
      <c r="S84" s="454">
        <f t="shared" si="117"/>
        <v>0</v>
      </c>
      <c r="T84" s="524" t="str">
        <f t="shared" si="118"/>
        <v/>
      </c>
      <c r="U84" s="11"/>
      <c r="V84" s="12"/>
      <c r="W84" s="10"/>
      <c r="X84" s="10"/>
      <c r="Y84" s="10">
        <v>52</v>
      </c>
      <c r="Z84" s="71" t="str">
        <f t="shared" si="119"/>
        <v>-</v>
      </c>
      <c r="AA84" s="71">
        <f t="shared" si="120"/>
        <v>0</v>
      </c>
      <c r="AB84" s="10"/>
      <c r="AC84" s="134">
        <f t="shared" si="65"/>
        <v>0</v>
      </c>
      <c r="AD84" s="135">
        <f>IF(SUM(AC84:AC$112)=0,0,COUNTA(F84:G84)&gt;0)</f>
        <v>0</v>
      </c>
      <c r="AE84" s="134">
        <f t="shared" si="66"/>
        <v>0</v>
      </c>
      <c r="AF84" s="475">
        <f>IF(SUM(AC84:AC$112)=0,0,AND(AD84=FALSE,AE84=0,SUM(AE85:AE$112)&gt;0))</f>
        <v>0</v>
      </c>
      <c r="AG84" s="152">
        <f t="shared" si="67"/>
        <v>0</v>
      </c>
      <c r="AH84" s="135">
        <f t="shared" si="68"/>
        <v>0</v>
      </c>
      <c r="AI84" s="135">
        <f t="shared" si="69"/>
        <v>0</v>
      </c>
      <c r="AJ84" s="135">
        <f t="shared" si="70"/>
        <v>0</v>
      </c>
      <c r="AK84" s="183">
        <f t="shared" si="71"/>
        <v>0</v>
      </c>
      <c r="AL84" s="135">
        <f t="shared" si="72"/>
        <v>0</v>
      </c>
      <c r="AM84" s="151">
        <f t="shared" si="73"/>
        <v>0</v>
      </c>
      <c r="AN84" s="152">
        <f t="shared" si="74"/>
        <v>0</v>
      </c>
      <c r="AO84" s="135">
        <f t="shared" si="75"/>
        <v>0</v>
      </c>
      <c r="AP84" s="146">
        <f t="shared" si="76"/>
        <v>0</v>
      </c>
      <c r="AQ84" s="152">
        <f t="shared" si="77"/>
        <v>0</v>
      </c>
      <c r="AR84" s="151">
        <f t="shared" si="78"/>
        <v>0</v>
      </c>
      <c r="AS84" s="152">
        <f t="shared" si="79"/>
        <v>0</v>
      </c>
      <c r="AT84" s="135">
        <f t="shared" si="80"/>
        <v>0</v>
      </c>
      <c r="AU84" s="151">
        <f t="shared" si="81"/>
        <v>0</v>
      </c>
      <c r="AV84" s="152">
        <f t="shared" si="82"/>
        <v>0</v>
      </c>
      <c r="AW84" s="135">
        <f t="shared" si="83"/>
        <v>0</v>
      </c>
      <c r="AX84" s="134">
        <f t="shared" si="84"/>
        <v>0</v>
      </c>
      <c r="AY84" s="498" t="str">
        <f t="shared" si="54"/>
        <v/>
      </c>
      <c r="AZ84" s="152">
        <f t="shared" si="85"/>
        <v>0</v>
      </c>
      <c r="BA84" s="135">
        <f t="shared" si="86"/>
        <v>0</v>
      </c>
      <c r="BB84" s="151">
        <f t="shared" si="87"/>
        <v>0</v>
      </c>
      <c r="BC84" s="301" t="b">
        <f t="shared" si="88"/>
        <v>0</v>
      </c>
      <c r="BD84" s="109"/>
      <c r="BE84" s="313">
        <f t="shared" si="89"/>
        <v>0</v>
      </c>
      <c r="BF84" s="314">
        <f t="shared" si="90"/>
        <v>0</v>
      </c>
      <c r="BG84" s="314">
        <f t="shared" si="91"/>
        <v>0</v>
      </c>
      <c r="BH84" s="315">
        <f t="shared" si="92"/>
        <v>0</v>
      </c>
      <c r="BI84" s="308">
        <f t="shared" si="93"/>
        <v>0</v>
      </c>
      <c r="BJ84" s="308">
        <f t="shared" si="94"/>
        <v>0</v>
      </c>
      <c r="BK84" s="170">
        <f t="shared" si="95"/>
        <v>0</v>
      </c>
      <c r="BL84" s="324">
        <f t="shared" si="96"/>
        <v>0</v>
      </c>
      <c r="BM84" s="324">
        <f t="shared" si="97"/>
        <v>0</v>
      </c>
      <c r="BN84" s="324">
        <f t="shared" si="98"/>
        <v>0</v>
      </c>
      <c r="BO84" s="325">
        <f t="shared" si="99"/>
        <v>0</v>
      </c>
      <c r="BP84" s="326">
        <f t="shared" si="100"/>
        <v>0</v>
      </c>
      <c r="BQ84" s="324">
        <f t="shared" si="101"/>
        <v>0</v>
      </c>
      <c r="BR84" s="324">
        <f t="shared" si="102"/>
        <v>0</v>
      </c>
      <c r="BS84" s="325">
        <f t="shared" si="103"/>
        <v>0</v>
      </c>
      <c r="BT84" s="10"/>
      <c r="BU84" s="288">
        <f t="shared" si="104"/>
        <v>0</v>
      </c>
      <c r="BV84" s="289">
        <f t="shared" si="105"/>
        <v>0</v>
      </c>
      <c r="BW84" s="134">
        <f t="shared" si="106"/>
        <v>0</v>
      </c>
      <c r="BX84" s="294">
        <f t="shared" si="107"/>
        <v>0</v>
      </c>
      <c r="BY84" s="295">
        <f t="shared" si="108"/>
        <v>0</v>
      </c>
      <c r="BZ84" s="10"/>
      <c r="CA84" s="190">
        <f t="shared" si="109"/>
        <v>0</v>
      </c>
      <c r="CB84" s="191">
        <f t="shared" si="110"/>
        <v>0</v>
      </c>
      <c r="CC84" s="99">
        <f t="shared" si="111"/>
        <v>0</v>
      </c>
      <c r="CD84" s="299" t="str">
        <f t="shared" si="112"/>
        <v/>
      </c>
      <c r="CE84" s="305"/>
      <c r="CF84" s="10"/>
      <c r="CG84" s="10"/>
      <c r="CH84" s="10"/>
      <c r="CI84" s="10"/>
      <c r="CJ84" s="10"/>
      <c r="CK84" s="10"/>
      <c r="CL84" s="10"/>
      <c r="CM84" s="10"/>
      <c r="CN84" s="10"/>
      <c r="CO84" s="10"/>
      <c r="CP84" s="10"/>
      <c r="CQ84" s="10"/>
      <c r="CR84" s="10"/>
      <c r="CS84" s="10"/>
      <c r="CT84" s="10"/>
      <c r="CU84" s="10"/>
    </row>
    <row r="85" spans="1:99" ht="13.5" hidden="1" thickBot="1" x14ac:dyDescent="0.25">
      <c r="A85" s="11"/>
      <c r="B85" s="522" t="str">
        <f t="shared" si="41"/>
        <v>-</v>
      </c>
      <c r="C85" s="566">
        <v>53</v>
      </c>
      <c r="D85" s="616"/>
      <c r="E85" s="617"/>
      <c r="F85" s="515"/>
      <c r="G85" s="516"/>
      <c r="H85" s="581"/>
      <c r="I85" s="581"/>
      <c r="J85" s="569"/>
      <c r="K85" s="586"/>
      <c r="L85" s="587"/>
      <c r="M85" s="588"/>
      <c r="N85" s="589"/>
      <c r="O85" s="452" t="str">
        <f t="shared" si="113"/>
        <v/>
      </c>
      <c r="P85" s="453" t="str">
        <f t="shared" si="114"/>
        <v/>
      </c>
      <c r="Q85" s="499">
        <f t="shared" si="115"/>
        <v>0</v>
      </c>
      <c r="R85" s="500">
        <f t="shared" si="116"/>
        <v>0</v>
      </c>
      <c r="S85" s="454">
        <f t="shared" si="117"/>
        <v>0</v>
      </c>
      <c r="T85" s="524" t="str">
        <f t="shared" si="118"/>
        <v/>
      </c>
      <c r="U85" s="11"/>
      <c r="V85" s="12"/>
      <c r="W85" s="10"/>
      <c r="X85" s="10"/>
      <c r="Y85" s="10">
        <v>53</v>
      </c>
      <c r="Z85" s="71" t="str">
        <f t="shared" si="119"/>
        <v>-</v>
      </c>
      <c r="AA85" s="71">
        <f t="shared" si="120"/>
        <v>0</v>
      </c>
      <c r="AB85" s="10"/>
      <c r="AC85" s="134">
        <f t="shared" si="65"/>
        <v>0</v>
      </c>
      <c r="AD85" s="135">
        <f>IF(SUM(AC85:AC$112)=0,0,COUNTA(F85:G85)&gt;0)</f>
        <v>0</v>
      </c>
      <c r="AE85" s="134">
        <f t="shared" si="66"/>
        <v>0</v>
      </c>
      <c r="AF85" s="475">
        <f>IF(SUM(AC85:AC$112)=0,0,AND(AD85=FALSE,AE85=0,SUM(AE86:AE$112)&gt;0))</f>
        <v>0</v>
      </c>
      <c r="AG85" s="152">
        <f t="shared" si="67"/>
        <v>0</v>
      </c>
      <c r="AH85" s="135">
        <f t="shared" si="68"/>
        <v>0</v>
      </c>
      <c r="AI85" s="135">
        <f t="shared" si="69"/>
        <v>0</v>
      </c>
      <c r="AJ85" s="135">
        <f t="shared" si="70"/>
        <v>0</v>
      </c>
      <c r="AK85" s="183">
        <f t="shared" si="71"/>
        <v>0</v>
      </c>
      <c r="AL85" s="135">
        <f t="shared" si="72"/>
        <v>0</v>
      </c>
      <c r="AM85" s="151">
        <f t="shared" si="73"/>
        <v>0</v>
      </c>
      <c r="AN85" s="152">
        <f t="shared" si="74"/>
        <v>0</v>
      </c>
      <c r="AO85" s="135">
        <f t="shared" si="75"/>
        <v>0</v>
      </c>
      <c r="AP85" s="146">
        <f t="shared" si="76"/>
        <v>0</v>
      </c>
      <c r="AQ85" s="152">
        <f t="shared" si="77"/>
        <v>0</v>
      </c>
      <c r="AR85" s="151">
        <f t="shared" si="78"/>
        <v>0</v>
      </c>
      <c r="AS85" s="152">
        <f t="shared" si="79"/>
        <v>0</v>
      </c>
      <c r="AT85" s="135">
        <f t="shared" si="80"/>
        <v>0</v>
      </c>
      <c r="AU85" s="151">
        <f t="shared" si="81"/>
        <v>0</v>
      </c>
      <c r="AV85" s="152">
        <f t="shared" si="82"/>
        <v>0</v>
      </c>
      <c r="AW85" s="135">
        <f t="shared" si="83"/>
        <v>0</v>
      </c>
      <c r="AX85" s="134">
        <f t="shared" si="84"/>
        <v>0</v>
      </c>
      <c r="AY85" s="498" t="str">
        <f t="shared" si="54"/>
        <v/>
      </c>
      <c r="AZ85" s="152">
        <f t="shared" si="85"/>
        <v>0</v>
      </c>
      <c r="BA85" s="135">
        <f t="shared" si="86"/>
        <v>0</v>
      </c>
      <c r="BB85" s="151">
        <f t="shared" si="87"/>
        <v>0</v>
      </c>
      <c r="BC85" s="301" t="b">
        <f t="shared" si="88"/>
        <v>0</v>
      </c>
      <c r="BD85" s="109"/>
      <c r="BE85" s="313">
        <f t="shared" si="89"/>
        <v>0</v>
      </c>
      <c r="BF85" s="314">
        <f t="shared" si="90"/>
        <v>0</v>
      </c>
      <c r="BG85" s="314">
        <f t="shared" si="91"/>
        <v>0</v>
      </c>
      <c r="BH85" s="315">
        <f t="shared" si="92"/>
        <v>0</v>
      </c>
      <c r="BI85" s="308">
        <f t="shared" si="93"/>
        <v>0</v>
      </c>
      <c r="BJ85" s="308">
        <f t="shared" si="94"/>
        <v>0</v>
      </c>
      <c r="BK85" s="170">
        <f t="shared" si="95"/>
        <v>0</v>
      </c>
      <c r="BL85" s="324">
        <f t="shared" si="96"/>
        <v>0</v>
      </c>
      <c r="BM85" s="324">
        <f t="shared" si="97"/>
        <v>0</v>
      </c>
      <c r="BN85" s="324">
        <f t="shared" si="98"/>
        <v>0</v>
      </c>
      <c r="BO85" s="325">
        <f t="shared" si="99"/>
        <v>0</v>
      </c>
      <c r="BP85" s="326">
        <f t="shared" si="100"/>
        <v>0</v>
      </c>
      <c r="BQ85" s="324">
        <f t="shared" si="101"/>
        <v>0</v>
      </c>
      <c r="BR85" s="324">
        <f t="shared" si="102"/>
        <v>0</v>
      </c>
      <c r="BS85" s="325">
        <f t="shared" si="103"/>
        <v>0</v>
      </c>
      <c r="BT85" s="10"/>
      <c r="BU85" s="288">
        <f t="shared" si="104"/>
        <v>0</v>
      </c>
      <c r="BV85" s="289">
        <f t="shared" si="105"/>
        <v>0</v>
      </c>
      <c r="BW85" s="134">
        <f t="shared" si="106"/>
        <v>0</v>
      </c>
      <c r="BX85" s="294">
        <f t="shared" si="107"/>
        <v>0</v>
      </c>
      <c r="BY85" s="295">
        <f t="shared" si="108"/>
        <v>0</v>
      </c>
      <c r="BZ85" s="10"/>
      <c r="CA85" s="190">
        <f t="shared" si="109"/>
        <v>0</v>
      </c>
      <c r="CB85" s="191">
        <f t="shared" si="110"/>
        <v>0</v>
      </c>
      <c r="CC85" s="99">
        <f t="shared" si="111"/>
        <v>0</v>
      </c>
      <c r="CD85" s="299" t="str">
        <f t="shared" si="112"/>
        <v/>
      </c>
      <c r="CE85" s="305"/>
      <c r="CF85" s="10"/>
      <c r="CG85" s="10"/>
      <c r="CH85" s="10"/>
      <c r="CI85" s="10"/>
      <c r="CJ85" s="10"/>
      <c r="CK85" s="10"/>
      <c r="CL85" s="10"/>
      <c r="CM85" s="10"/>
      <c r="CN85" s="10"/>
      <c r="CO85" s="10"/>
      <c r="CP85" s="10"/>
      <c r="CQ85" s="10"/>
      <c r="CR85" s="10"/>
      <c r="CS85" s="10"/>
      <c r="CT85" s="10"/>
      <c r="CU85" s="10"/>
    </row>
    <row r="86" spans="1:99" ht="13.5" hidden="1" thickBot="1" x14ac:dyDescent="0.25">
      <c r="A86" s="11"/>
      <c r="B86" s="522" t="str">
        <f t="shared" si="41"/>
        <v>-</v>
      </c>
      <c r="C86" s="566">
        <v>54</v>
      </c>
      <c r="D86" s="616"/>
      <c r="E86" s="617"/>
      <c r="F86" s="515"/>
      <c r="G86" s="516"/>
      <c r="H86" s="581"/>
      <c r="I86" s="581"/>
      <c r="J86" s="569"/>
      <c r="K86" s="586"/>
      <c r="L86" s="587"/>
      <c r="M86" s="588"/>
      <c r="N86" s="589"/>
      <c r="O86" s="452" t="str">
        <f t="shared" si="113"/>
        <v/>
      </c>
      <c r="P86" s="453" t="str">
        <f t="shared" si="114"/>
        <v/>
      </c>
      <c r="Q86" s="499">
        <f t="shared" si="115"/>
        <v>0</v>
      </c>
      <c r="R86" s="500">
        <f t="shared" si="116"/>
        <v>0</v>
      </c>
      <c r="S86" s="454">
        <f t="shared" si="117"/>
        <v>0</v>
      </c>
      <c r="T86" s="524" t="str">
        <f t="shared" si="118"/>
        <v/>
      </c>
      <c r="U86" s="11"/>
      <c r="V86" s="12"/>
      <c r="W86" s="10"/>
      <c r="X86" s="10"/>
      <c r="Y86" s="10">
        <v>54</v>
      </c>
      <c r="Z86" s="71" t="str">
        <f t="shared" si="119"/>
        <v>-</v>
      </c>
      <c r="AA86" s="71">
        <f t="shared" si="120"/>
        <v>0</v>
      </c>
      <c r="AB86" s="10"/>
      <c r="AC86" s="134">
        <f t="shared" si="65"/>
        <v>0</v>
      </c>
      <c r="AD86" s="135">
        <f>IF(SUM(AC86:AC$112)=0,0,COUNTA(F86:G86)&gt;0)</f>
        <v>0</v>
      </c>
      <c r="AE86" s="134">
        <f t="shared" si="66"/>
        <v>0</v>
      </c>
      <c r="AF86" s="475">
        <f>IF(SUM(AC86:AC$112)=0,0,AND(AD86=FALSE,AE86=0,SUM(AE87:AE$112)&gt;0))</f>
        <v>0</v>
      </c>
      <c r="AG86" s="152">
        <f t="shared" si="67"/>
        <v>0</v>
      </c>
      <c r="AH86" s="135">
        <f t="shared" si="68"/>
        <v>0</v>
      </c>
      <c r="AI86" s="135">
        <f t="shared" si="69"/>
        <v>0</v>
      </c>
      <c r="AJ86" s="135">
        <f t="shared" si="70"/>
        <v>0</v>
      </c>
      <c r="AK86" s="183">
        <f t="shared" si="71"/>
        <v>0</v>
      </c>
      <c r="AL86" s="135">
        <f t="shared" si="72"/>
        <v>0</v>
      </c>
      <c r="AM86" s="151">
        <f t="shared" si="73"/>
        <v>0</v>
      </c>
      <c r="AN86" s="152">
        <f t="shared" si="74"/>
        <v>0</v>
      </c>
      <c r="AO86" s="135">
        <f t="shared" si="75"/>
        <v>0</v>
      </c>
      <c r="AP86" s="146">
        <f t="shared" si="76"/>
        <v>0</v>
      </c>
      <c r="AQ86" s="152">
        <f t="shared" si="77"/>
        <v>0</v>
      </c>
      <c r="AR86" s="151">
        <f t="shared" si="78"/>
        <v>0</v>
      </c>
      <c r="AS86" s="152">
        <f t="shared" si="79"/>
        <v>0</v>
      </c>
      <c r="AT86" s="135">
        <f t="shared" si="80"/>
        <v>0</v>
      </c>
      <c r="AU86" s="151">
        <f t="shared" si="81"/>
        <v>0</v>
      </c>
      <c r="AV86" s="152">
        <f t="shared" si="82"/>
        <v>0</v>
      </c>
      <c r="AW86" s="135">
        <f t="shared" si="83"/>
        <v>0</v>
      </c>
      <c r="AX86" s="134">
        <f t="shared" si="84"/>
        <v>0</v>
      </c>
      <c r="AY86" s="498" t="str">
        <f t="shared" si="54"/>
        <v/>
      </c>
      <c r="AZ86" s="152">
        <f t="shared" si="85"/>
        <v>0</v>
      </c>
      <c r="BA86" s="135">
        <f t="shared" si="86"/>
        <v>0</v>
      </c>
      <c r="BB86" s="151">
        <f t="shared" si="87"/>
        <v>0</v>
      </c>
      <c r="BC86" s="301" t="b">
        <f t="shared" si="88"/>
        <v>0</v>
      </c>
      <c r="BD86" s="109"/>
      <c r="BE86" s="313">
        <f t="shared" si="89"/>
        <v>0</v>
      </c>
      <c r="BF86" s="314">
        <f t="shared" si="90"/>
        <v>0</v>
      </c>
      <c r="BG86" s="314">
        <f t="shared" si="91"/>
        <v>0</v>
      </c>
      <c r="BH86" s="315">
        <f t="shared" si="92"/>
        <v>0</v>
      </c>
      <c r="BI86" s="308">
        <f t="shared" si="93"/>
        <v>0</v>
      </c>
      <c r="BJ86" s="308">
        <f t="shared" si="94"/>
        <v>0</v>
      </c>
      <c r="BK86" s="170">
        <f t="shared" si="95"/>
        <v>0</v>
      </c>
      <c r="BL86" s="324">
        <f t="shared" si="96"/>
        <v>0</v>
      </c>
      <c r="BM86" s="324">
        <f t="shared" si="97"/>
        <v>0</v>
      </c>
      <c r="BN86" s="324">
        <f t="shared" si="98"/>
        <v>0</v>
      </c>
      <c r="BO86" s="325">
        <f t="shared" si="99"/>
        <v>0</v>
      </c>
      <c r="BP86" s="326">
        <f t="shared" si="100"/>
        <v>0</v>
      </c>
      <c r="BQ86" s="324">
        <f t="shared" si="101"/>
        <v>0</v>
      </c>
      <c r="BR86" s="324">
        <f t="shared" si="102"/>
        <v>0</v>
      </c>
      <c r="BS86" s="325">
        <f t="shared" si="103"/>
        <v>0</v>
      </c>
      <c r="BT86" s="10"/>
      <c r="BU86" s="288">
        <f t="shared" si="104"/>
        <v>0</v>
      </c>
      <c r="BV86" s="289">
        <f t="shared" si="105"/>
        <v>0</v>
      </c>
      <c r="BW86" s="134">
        <f t="shared" si="106"/>
        <v>0</v>
      </c>
      <c r="BX86" s="294">
        <f t="shared" si="107"/>
        <v>0</v>
      </c>
      <c r="BY86" s="295">
        <f t="shared" si="108"/>
        <v>0</v>
      </c>
      <c r="BZ86" s="10"/>
      <c r="CA86" s="190">
        <f t="shared" si="109"/>
        <v>0</v>
      </c>
      <c r="CB86" s="191">
        <f t="shared" si="110"/>
        <v>0</v>
      </c>
      <c r="CC86" s="99">
        <f t="shared" si="111"/>
        <v>0</v>
      </c>
      <c r="CD86" s="299" t="str">
        <f t="shared" si="112"/>
        <v/>
      </c>
      <c r="CE86" s="305"/>
      <c r="CF86" s="10"/>
      <c r="CG86" s="10"/>
      <c r="CH86" s="10"/>
      <c r="CI86" s="10"/>
      <c r="CJ86" s="10"/>
      <c r="CK86" s="10"/>
      <c r="CL86" s="10"/>
      <c r="CM86" s="10"/>
      <c r="CN86" s="10"/>
      <c r="CO86" s="10"/>
      <c r="CP86" s="10"/>
      <c r="CQ86" s="10"/>
      <c r="CR86" s="10"/>
      <c r="CS86" s="10"/>
      <c r="CT86" s="10"/>
      <c r="CU86" s="10"/>
    </row>
    <row r="87" spans="1:99" ht="13.5" hidden="1" thickBot="1" x14ac:dyDescent="0.25">
      <c r="A87" s="11"/>
      <c r="B87" s="522" t="str">
        <f t="shared" si="41"/>
        <v>-</v>
      </c>
      <c r="C87" s="566">
        <v>55</v>
      </c>
      <c r="D87" s="616"/>
      <c r="E87" s="617"/>
      <c r="F87" s="515"/>
      <c r="G87" s="516"/>
      <c r="H87" s="581"/>
      <c r="I87" s="581"/>
      <c r="J87" s="569"/>
      <c r="K87" s="586"/>
      <c r="L87" s="587"/>
      <c r="M87" s="588"/>
      <c r="N87" s="589"/>
      <c r="O87" s="452" t="str">
        <f t="shared" si="113"/>
        <v/>
      </c>
      <c r="P87" s="453" t="str">
        <f t="shared" si="114"/>
        <v/>
      </c>
      <c r="Q87" s="499">
        <f t="shared" si="115"/>
        <v>0</v>
      </c>
      <c r="R87" s="500">
        <f t="shared" si="116"/>
        <v>0</v>
      </c>
      <c r="S87" s="454">
        <f t="shared" si="117"/>
        <v>0</v>
      </c>
      <c r="T87" s="524" t="str">
        <f t="shared" si="118"/>
        <v/>
      </c>
      <c r="U87" s="11"/>
      <c r="V87" s="12"/>
      <c r="W87" s="10"/>
      <c r="X87" s="10"/>
      <c r="Y87" s="10">
        <v>55</v>
      </c>
      <c r="Z87" s="71" t="str">
        <f t="shared" si="119"/>
        <v>-</v>
      </c>
      <c r="AA87" s="71">
        <f t="shared" si="120"/>
        <v>0</v>
      </c>
      <c r="AB87" s="10"/>
      <c r="AC87" s="134">
        <f t="shared" si="65"/>
        <v>0</v>
      </c>
      <c r="AD87" s="135">
        <f>IF(SUM(AC87:AC$112)=0,0,COUNTA(F87:G87)&gt;0)</f>
        <v>0</v>
      </c>
      <c r="AE87" s="134">
        <f t="shared" si="66"/>
        <v>0</v>
      </c>
      <c r="AF87" s="475">
        <f>IF(SUM(AC87:AC$112)=0,0,AND(AD87=FALSE,AE87=0,SUM(AE88:AE$112)&gt;0))</f>
        <v>0</v>
      </c>
      <c r="AG87" s="152">
        <f t="shared" si="67"/>
        <v>0</v>
      </c>
      <c r="AH87" s="135">
        <f t="shared" si="68"/>
        <v>0</v>
      </c>
      <c r="AI87" s="135">
        <f t="shared" si="69"/>
        <v>0</v>
      </c>
      <c r="AJ87" s="135">
        <f t="shared" si="70"/>
        <v>0</v>
      </c>
      <c r="AK87" s="183">
        <f t="shared" si="71"/>
        <v>0</v>
      </c>
      <c r="AL87" s="135">
        <f t="shared" si="72"/>
        <v>0</v>
      </c>
      <c r="AM87" s="151">
        <f t="shared" si="73"/>
        <v>0</v>
      </c>
      <c r="AN87" s="152">
        <f t="shared" si="74"/>
        <v>0</v>
      </c>
      <c r="AO87" s="135">
        <f t="shared" si="75"/>
        <v>0</v>
      </c>
      <c r="AP87" s="146">
        <f t="shared" si="76"/>
        <v>0</v>
      </c>
      <c r="AQ87" s="152">
        <f t="shared" si="77"/>
        <v>0</v>
      </c>
      <c r="AR87" s="151">
        <f t="shared" si="78"/>
        <v>0</v>
      </c>
      <c r="AS87" s="152">
        <f t="shared" si="79"/>
        <v>0</v>
      </c>
      <c r="AT87" s="135">
        <f t="shared" si="80"/>
        <v>0</v>
      </c>
      <c r="AU87" s="151">
        <f t="shared" si="81"/>
        <v>0</v>
      </c>
      <c r="AV87" s="152">
        <f t="shared" si="82"/>
        <v>0</v>
      </c>
      <c r="AW87" s="135">
        <f t="shared" si="83"/>
        <v>0</v>
      </c>
      <c r="AX87" s="134">
        <f t="shared" si="84"/>
        <v>0</v>
      </c>
      <c r="AY87" s="498" t="str">
        <f t="shared" si="54"/>
        <v/>
      </c>
      <c r="AZ87" s="152">
        <f t="shared" si="85"/>
        <v>0</v>
      </c>
      <c r="BA87" s="135">
        <f t="shared" si="86"/>
        <v>0</v>
      </c>
      <c r="BB87" s="151">
        <f t="shared" si="87"/>
        <v>0</v>
      </c>
      <c r="BC87" s="301" t="b">
        <f t="shared" si="88"/>
        <v>0</v>
      </c>
      <c r="BD87" s="109"/>
      <c r="BE87" s="313">
        <f t="shared" si="89"/>
        <v>0</v>
      </c>
      <c r="BF87" s="314">
        <f t="shared" si="90"/>
        <v>0</v>
      </c>
      <c r="BG87" s="314">
        <f t="shared" si="91"/>
        <v>0</v>
      </c>
      <c r="BH87" s="315">
        <f t="shared" si="92"/>
        <v>0</v>
      </c>
      <c r="BI87" s="308">
        <f t="shared" si="93"/>
        <v>0</v>
      </c>
      <c r="BJ87" s="308">
        <f t="shared" si="94"/>
        <v>0</v>
      </c>
      <c r="BK87" s="170">
        <f t="shared" si="95"/>
        <v>0</v>
      </c>
      <c r="BL87" s="324">
        <f t="shared" si="96"/>
        <v>0</v>
      </c>
      <c r="BM87" s="324">
        <f t="shared" si="97"/>
        <v>0</v>
      </c>
      <c r="BN87" s="324">
        <f t="shared" si="98"/>
        <v>0</v>
      </c>
      <c r="BO87" s="325">
        <f t="shared" si="99"/>
        <v>0</v>
      </c>
      <c r="BP87" s="326">
        <f t="shared" si="100"/>
        <v>0</v>
      </c>
      <c r="BQ87" s="324">
        <f t="shared" si="101"/>
        <v>0</v>
      </c>
      <c r="BR87" s="324">
        <f t="shared" si="102"/>
        <v>0</v>
      </c>
      <c r="BS87" s="325">
        <f t="shared" si="103"/>
        <v>0</v>
      </c>
      <c r="BT87" s="10"/>
      <c r="BU87" s="288">
        <f t="shared" si="104"/>
        <v>0</v>
      </c>
      <c r="BV87" s="289">
        <f t="shared" si="105"/>
        <v>0</v>
      </c>
      <c r="BW87" s="134">
        <f t="shared" si="106"/>
        <v>0</v>
      </c>
      <c r="BX87" s="294">
        <f t="shared" si="107"/>
        <v>0</v>
      </c>
      <c r="BY87" s="295">
        <f t="shared" si="108"/>
        <v>0</v>
      </c>
      <c r="BZ87" s="10"/>
      <c r="CA87" s="190">
        <f t="shared" si="109"/>
        <v>0</v>
      </c>
      <c r="CB87" s="191">
        <f t="shared" si="110"/>
        <v>0</v>
      </c>
      <c r="CC87" s="99">
        <f t="shared" si="111"/>
        <v>0</v>
      </c>
      <c r="CD87" s="299" t="str">
        <f t="shared" si="112"/>
        <v/>
      </c>
      <c r="CE87" s="305"/>
      <c r="CF87" s="10"/>
      <c r="CG87" s="10"/>
      <c r="CH87" s="10"/>
      <c r="CI87" s="10"/>
      <c r="CJ87" s="10"/>
      <c r="CK87" s="10"/>
      <c r="CL87" s="10"/>
      <c r="CM87" s="10"/>
      <c r="CN87" s="10"/>
      <c r="CO87" s="10"/>
      <c r="CP87" s="10"/>
      <c r="CQ87" s="10"/>
      <c r="CR87" s="10"/>
      <c r="CS87" s="10"/>
      <c r="CT87" s="10"/>
      <c r="CU87" s="10"/>
    </row>
    <row r="88" spans="1:99" ht="13.5" hidden="1" thickBot="1" x14ac:dyDescent="0.25">
      <c r="A88" s="11"/>
      <c r="B88" s="522" t="str">
        <f t="shared" si="41"/>
        <v>-</v>
      </c>
      <c r="C88" s="566">
        <v>56</v>
      </c>
      <c r="D88" s="616"/>
      <c r="E88" s="617"/>
      <c r="F88" s="515"/>
      <c r="G88" s="516"/>
      <c r="H88" s="581"/>
      <c r="I88" s="581"/>
      <c r="J88" s="569"/>
      <c r="K88" s="586"/>
      <c r="L88" s="587"/>
      <c r="M88" s="588"/>
      <c r="N88" s="589"/>
      <c r="O88" s="452" t="str">
        <f t="shared" si="113"/>
        <v/>
      </c>
      <c r="P88" s="453" t="str">
        <f t="shared" si="114"/>
        <v/>
      </c>
      <c r="Q88" s="499">
        <f t="shared" si="115"/>
        <v>0</v>
      </c>
      <c r="R88" s="500">
        <f t="shared" si="116"/>
        <v>0</v>
      </c>
      <c r="S88" s="454">
        <f t="shared" si="117"/>
        <v>0</v>
      </c>
      <c r="T88" s="524" t="str">
        <f t="shared" si="118"/>
        <v/>
      </c>
      <c r="U88" s="11"/>
      <c r="V88" s="12"/>
      <c r="W88" s="10"/>
      <c r="X88" s="10"/>
      <c r="Y88" s="10">
        <v>56</v>
      </c>
      <c r="Z88" s="71" t="str">
        <f t="shared" si="119"/>
        <v>-</v>
      </c>
      <c r="AA88" s="71">
        <f t="shared" si="120"/>
        <v>0</v>
      </c>
      <c r="AB88" s="10"/>
      <c r="AC88" s="134">
        <f t="shared" si="65"/>
        <v>0</v>
      </c>
      <c r="AD88" s="135">
        <f>IF(SUM(AC88:AC$112)=0,0,COUNTA(F88:G88)&gt;0)</f>
        <v>0</v>
      </c>
      <c r="AE88" s="134">
        <f t="shared" si="66"/>
        <v>0</v>
      </c>
      <c r="AF88" s="475">
        <f>IF(SUM(AC88:AC$112)=0,0,AND(AD88=FALSE,AE88=0,SUM(AE89:AE$112)&gt;0))</f>
        <v>0</v>
      </c>
      <c r="AG88" s="152">
        <f t="shared" si="67"/>
        <v>0</v>
      </c>
      <c r="AH88" s="135">
        <f t="shared" si="68"/>
        <v>0</v>
      </c>
      <c r="AI88" s="135">
        <f t="shared" si="69"/>
        <v>0</v>
      </c>
      <c r="AJ88" s="135">
        <f t="shared" si="70"/>
        <v>0</v>
      </c>
      <c r="AK88" s="183">
        <f t="shared" si="71"/>
        <v>0</v>
      </c>
      <c r="AL88" s="135">
        <f t="shared" si="72"/>
        <v>0</v>
      </c>
      <c r="AM88" s="151">
        <f t="shared" si="73"/>
        <v>0</v>
      </c>
      <c r="AN88" s="152">
        <f t="shared" si="74"/>
        <v>0</v>
      </c>
      <c r="AO88" s="135">
        <f t="shared" si="75"/>
        <v>0</v>
      </c>
      <c r="AP88" s="146">
        <f t="shared" si="76"/>
        <v>0</v>
      </c>
      <c r="AQ88" s="152">
        <f t="shared" si="77"/>
        <v>0</v>
      </c>
      <c r="AR88" s="151">
        <f t="shared" si="78"/>
        <v>0</v>
      </c>
      <c r="AS88" s="152">
        <f t="shared" si="79"/>
        <v>0</v>
      </c>
      <c r="AT88" s="135">
        <f t="shared" si="80"/>
        <v>0</v>
      </c>
      <c r="AU88" s="151">
        <f t="shared" si="81"/>
        <v>0</v>
      </c>
      <c r="AV88" s="152">
        <f t="shared" si="82"/>
        <v>0</v>
      </c>
      <c r="AW88" s="135">
        <f t="shared" si="83"/>
        <v>0</v>
      </c>
      <c r="AX88" s="134">
        <f t="shared" si="84"/>
        <v>0</v>
      </c>
      <c r="AY88" s="498" t="str">
        <f t="shared" si="54"/>
        <v/>
      </c>
      <c r="AZ88" s="152">
        <f t="shared" si="85"/>
        <v>0</v>
      </c>
      <c r="BA88" s="135">
        <f t="shared" si="86"/>
        <v>0</v>
      </c>
      <c r="BB88" s="151">
        <f t="shared" si="87"/>
        <v>0</v>
      </c>
      <c r="BC88" s="301" t="b">
        <f t="shared" si="88"/>
        <v>0</v>
      </c>
      <c r="BD88" s="109"/>
      <c r="BE88" s="313">
        <f t="shared" si="89"/>
        <v>0</v>
      </c>
      <c r="BF88" s="314">
        <f t="shared" si="90"/>
        <v>0</v>
      </c>
      <c r="BG88" s="314">
        <f t="shared" si="91"/>
        <v>0</v>
      </c>
      <c r="BH88" s="315">
        <f t="shared" si="92"/>
        <v>0</v>
      </c>
      <c r="BI88" s="308">
        <f t="shared" si="93"/>
        <v>0</v>
      </c>
      <c r="BJ88" s="308">
        <f t="shared" si="94"/>
        <v>0</v>
      </c>
      <c r="BK88" s="170">
        <f t="shared" si="95"/>
        <v>0</v>
      </c>
      <c r="BL88" s="324">
        <f t="shared" si="96"/>
        <v>0</v>
      </c>
      <c r="BM88" s="324">
        <f t="shared" si="97"/>
        <v>0</v>
      </c>
      <c r="BN88" s="324">
        <f t="shared" si="98"/>
        <v>0</v>
      </c>
      <c r="BO88" s="325">
        <f t="shared" si="99"/>
        <v>0</v>
      </c>
      <c r="BP88" s="326">
        <f t="shared" si="100"/>
        <v>0</v>
      </c>
      <c r="BQ88" s="324">
        <f t="shared" si="101"/>
        <v>0</v>
      </c>
      <c r="BR88" s="324">
        <f t="shared" si="102"/>
        <v>0</v>
      </c>
      <c r="BS88" s="325">
        <f t="shared" si="103"/>
        <v>0</v>
      </c>
      <c r="BT88" s="10"/>
      <c r="BU88" s="288">
        <f t="shared" si="104"/>
        <v>0</v>
      </c>
      <c r="BV88" s="289">
        <f t="shared" si="105"/>
        <v>0</v>
      </c>
      <c r="BW88" s="134">
        <f t="shared" si="106"/>
        <v>0</v>
      </c>
      <c r="BX88" s="294">
        <f t="shared" si="107"/>
        <v>0</v>
      </c>
      <c r="BY88" s="295">
        <f t="shared" si="108"/>
        <v>0</v>
      </c>
      <c r="BZ88" s="10"/>
      <c r="CA88" s="190">
        <f t="shared" si="109"/>
        <v>0</v>
      </c>
      <c r="CB88" s="191">
        <f t="shared" si="110"/>
        <v>0</v>
      </c>
      <c r="CC88" s="99">
        <f t="shared" si="111"/>
        <v>0</v>
      </c>
      <c r="CD88" s="299" t="str">
        <f t="shared" si="112"/>
        <v/>
      </c>
      <c r="CE88" s="305"/>
      <c r="CF88" s="10"/>
      <c r="CG88" s="10"/>
      <c r="CH88" s="10"/>
      <c r="CI88" s="10"/>
      <c r="CJ88" s="10"/>
      <c r="CK88" s="10"/>
      <c r="CL88" s="10"/>
      <c r="CM88" s="10"/>
      <c r="CN88" s="10"/>
      <c r="CO88" s="10"/>
      <c r="CP88" s="10"/>
      <c r="CQ88" s="10"/>
      <c r="CR88" s="10"/>
      <c r="CS88" s="10"/>
      <c r="CT88" s="10"/>
      <c r="CU88" s="10"/>
    </row>
    <row r="89" spans="1:99" ht="13.5" hidden="1" thickBot="1" x14ac:dyDescent="0.25">
      <c r="A89" s="11"/>
      <c r="B89" s="522" t="str">
        <f t="shared" si="41"/>
        <v>-</v>
      </c>
      <c r="C89" s="566">
        <v>57</v>
      </c>
      <c r="D89" s="616"/>
      <c r="E89" s="617"/>
      <c r="F89" s="515"/>
      <c r="G89" s="516"/>
      <c r="H89" s="581"/>
      <c r="I89" s="581"/>
      <c r="J89" s="569"/>
      <c r="K89" s="586"/>
      <c r="L89" s="587"/>
      <c r="M89" s="588"/>
      <c r="N89" s="589"/>
      <c r="O89" s="452" t="str">
        <f t="shared" si="113"/>
        <v/>
      </c>
      <c r="P89" s="453" t="str">
        <f t="shared" si="114"/>
        <v/>
      </c>
      <c r="Q89" s="499">
        <f t="shared" si="115"/>
        <v>0</v>
      </c>
      <c r="R89" s="500">
        <f t="shared" si="116"/>
        <v>0</v>
      </c>
      <c r="S89" s="454">
        <f t="shared" si="117"/>
        <v>0</v>
      </c>
      <c r="T89" s="524" t="str">
        <f t="shared" si="118"/>
        <v/>
      </c>
      <c r="U89" s="11"/>
      <c r="V89" s="12"/>
      <c r="W89" s="10"/>
      <c r="X89" s="10"/>
      <c r="Y89" s="10">
        <v>57</v>
      </c>
      <c r="Z89" s="71" t="str">
        <f t="shared" si="119"/>
        <v>-</v>
      </c>
      <c r="AA89" s="71">
        <f t="shared" si="120"/>
        <v>0</v>
      </c>
      <c r="AB89" s="10"/>
      <c r="AC89" s="134">
        <f t="shared" si="65"/>
        <v>0</v>
      </c>
      <c r="AD89" s="135">
        <f>IF(SUM(AC89:AC$112)=0,0,COUNTA(F89:G89)&gt;0)</f>
        <v>0</v>
      </c>
      <c r="AE89" s="134">
        <f t="shared" si="66"/>
        <v>0</v>
      </c>
      <c r="AF89" s="475">
        <f>IF(SUM(AC89:AC$112)=0,0,AND(AD89=FALSE,AE89=0,SUM(AE90:AE$112)&gt;0))</f>
        <v>0</v>
      </c>
      <c r="AG89" s="152">
        <f t="shared" si="67"/>
        <v>0</v>
      </c>
      <c r="AH89" s="135">
        <f t="shared" si="68"/>
        <v>0</v>
      </c>
      <c r="AI89" s="135">
        <f t="shared" si="69"/>
        <v>0</v>
      </c>
      <c r="AJ89" s="135">
        <f t="shared" si="70"/>
        <v>0</v>
      </c>
      <c r="AK89" s="183">
        <f t="shared" si="71"/>
        <v>0</v>
      </c>
      <c r="AL89" s="135">
        <f t="shared" si="72"/>
        <v>0</v>
      </c>
      <c r="AM89" s="151">
        <f t="shared" si="73"/>
        <v>0</v>
      </c>
      <c r="AN89" s="152">
        <f t="shared" si="74"/>
        <v>0</v>
      </c>
      <c r="AO89" s="135">
        <f t="shared" si="75"/>
        <v>0</v>
      </c>
      <c r="AP89" s="146">
        <f t="shared" si="76"/>
        <v>0</v>
      </c>
      <c r="AQ89" s="152">
        <f t="shared" si="77"/>
        <v>0</v>
      </c>
      <c r="AR89" s="151">
        <f t="shared" si="78"/>
        <v>0</v>
      </c>
      <c r="AS89" s="152">
        <f t="shared" si="79"/>
        <v>0</v>
      </c>
      <c r="AT89" s="135">
        <f t="shared" si="80"/>
        <v>0</v>
      </c>
      <c r="AU89" s="151">
        <f t="shared" si="81"/>
        <v>0</v>
      </c>
      <c r="AV89" s="152">
        <f t="shared" si="82"/>
        <v>0</v>
      </c>
      <c r="AW89" s="135">
        <f t="shared" si="83"/>
        <v>0</v>
      </c>
      <c r="AX89" s="134">
        <f t="shared" si="84"/>
        <v>0</v>
      </c>
      <c r="AY89" s="498" t="str">
        <f t="shared" si="54"/>
        <v/>
      </c>
      <c r="AZ89" s="152">
        <f t="shared" si="85"/>
        <v>0</v>
      </c>
      <c r="BA89" s="135">
        <f t="shared" si="86"/>
        <v>0</v>
      </c>
      <c r="BB89" s="151">
        <f t="shared" si="87"/>
        <v>0</v>
      </c>
      <c r="BC89" s="301" t="b">
        <f t="shared" si="88"/>
        <v>0</v>
      </c>
      <c r="BD89" s="109"/>
      <c r="BE89" s="313">
        <f t="shared" si="89"/>
        <v>0</v>
      </c>
      <c r="BF89" s="314">
        <f t="shared" si="90"/>
        <v>0</v>
      </c>
      <c r="BG89" s="314">
        <f t="shared" si="91"/>
        <v>0</v>
      </c>
      <c r="BH89" s="315">
        <f t="shared" si="92"/>
        <v>0</v>
      </c>
      <c r="BI89" s="308">
        <f t="shared" si="93"/>
        <v>0</v>
      </c>
      <c r="BJ89" s="308">
        <f t="shared" si="94"/>
        <v>0</v>
      </c>
      <c r="BK89" s="170">
        <f t="shared" si="95"/>
        <v>0</v>
      </c>
      <c r="BL89" s="324">
        <f t="shared" si="96"/>
        <v>0</v>
      </c>
      <c r="BM89" s="324">
        <f t="shared" si="97"/>
        <v>0</v>
      </c>
      <c r="BN89" s="324">
        <f t="shared" si="98"/>
        <v>0</v>
      </c>
      <c r="BO89" s="325">
        <f t="shared" si="99"/>
        <v>0</v>
      </c>
      <c r="BP89" s="326">
        <f t="shared" si="100"/>
        <v>0</v>
      </c>
      <c r="BQ89" s="324">
        <f t="shared" si="101"/>
        <v>0</v>
      </c>
      <c r="BR89" s="324">
        <f t="shared" si="102"/>
        <v>0</v>
      </c>
      <c r="BS89" s="325">
        <f t="shared" si="103"/>
        <v>0</v>
      </c>
      <c r="BT89" s="10"/>
      <c r="BU89" s="288">
        <f t="shared" si="104"/>
        <v>0</v>
      </c>
      <c r="BV89" s="289">
        <f t="shared" si="105"/>
        <v>0</v>
      </c>
      <c r="BW89" s="134">
        <f t="shared" si="106"/>
        <v>0</v>
      </c>
      <c r="BX89" s="294">
        <f t="shared" si="107"/>
        <v>0</v>
      </c>
      <c r="BY89" s="295">
        <f t="shared" si="108"/>
        <v>0</v>
      </c>
      <c r="BZ89" s="10"/>
      <c r="CA89" s="190">
        <f t="shared" si="109"/>
        <v>0</v>
      </c>
      <c r="CB89" s="191">
        <f t="shared" si="110"/>
        <v>0</v>
      </c>
      <c r="CC89" s="99">
        <f t="shared" si="111"/>
        <v>0</v>
      </c>
      <c r="CD89" s="299" t="str">
        <f t="shared" si="112"/>
        <v/>
      </c>
      <c r="CE89" s="305"/>
      <c r="CF89" s="10"/>
      <c r="CG89" s="10"/>
      <c r="CH89" s="10"/>
      <c r="CI89" s="10"/>
      <c r="CJ89" s="10"/>
      <c r="CK89" s="10"/>
      <c r="CL89" s="10"/>
      <c r="CM89" s="10"/>
      <c r="CN89" s="10"/>
      <c r="CO89" s="10"/>
      <c r="CP89" s="10"/>
      <c r="CQ89" s="10"/>
      <c r="CR89" s="10"/>
      <c r="CS89" s="10"/>
      <c r="CT89" s="10"/>
      <c r="CU89" s="10"/>
    </row>
    <row r="90" spans="1:99" ht="13.5" hidden="1" thickBot="1" x14ac:dyDescent="0.25">
      <c r="A90" s="11"/>
      <c r="B90" s="522" t="str">
        <f t="shared" si="41"/>
        <v>-</v>
      </c>
      <c r="C90" s="566">
        <v>58</v>
      </c>
      <c r="D90" s="616"/>
      <c r="E90" s="617"/>
      <c r="F90" s="515"/>
      <c r="G90" s="516"/>
      <c r="H90" s="581"/>
      <c r="I90" s="581"/>
      <c r="J90" s="569"/>
      <c r="K90" s="586"/>
      <c r="L90" s="587"/>
      <c r="M90" s="588"/>
      <c r="N90" s="589"/>
      <c r="O90" s="452" t="str">
        <f t="shared" si="113"/>
        <v/>
      </c>
      <c r="P90" s="453" t="str">
        <f t="shared" si="114"/>
        <v/>
      </c>
      <c r="Q90" s="499">
        <f t="shared" si="115"/>
        <v>0</v>
      </c>
      <c r="R90" s="500">
        <f t="shared" si="116"/>
        <v>0</v>
      </c>
      <c r="S90" s="454">
        <f t="shared" si="117"/>
        <v>0</v>
      </c>
      <c r="T90" s="524" t="str">
        <f t="shared" si="118"/>
        <v/>
      </c>
      <c r="U90" s="11"/>
      <c r="V90" s="12"/>
      <c r="W90" s="10"/>
      <c r="X90" s="10"/>
      <c r="Y90" s="10">
        <v>58</v>
      </c>
      <c r="Z90" s="71" t="str">
        <f t="shared" si="119"/>
        <v>-</v>
      </c>
      <c r="AA90" s="71">
        <f t="shared" si="120"/>
        <v>0</v>
      </c>
      <c r="AB90" s="10"/>
      <c r="AC90" s="134">
        <f t="shared" si="65"/>
        <v>0</v>
      </c>
      <c r="AD90" s="135">
        <f>IF(SUM(AC90:AC$112)=0,0,COUNTA(F90:G90)&gt;0)</f>
        <v>0</v>
      </c>
      <c r="AE90" s="134">
        <f t="shared" si="66"/>
        <v>0</v>
      </c>
      <c r="AF90" s="475">
        <f>IF(SUM(AC90:AC$112)=0,0,AND(AD90=FALSE,AE90=0,SUM(AE91:AE$112)&gt;0))</f>
        <v>0</v>
      </c>
      <c r="AG90" s="152">
        <f t="shared" si="67"/>
        <v>0</v>
      </c>
      <c r="AH90" s="135">
        <f t="shared" si="68"/>
        <v>0</v>
      </c>
      <c r="AI90" s="135">
        <f t="shared" si="69"/>
        <v>0</v>
      </c>
      <c r="AJ90" s="135">
        <f t="shared" si="70"/>
        <v>0</v>
      </c>
      <c r="AK90" s="183">
        <f t="shared" si="71"/>
        <v>0</v>
      </c>
      <c r="AL90" s="135">
        <f t="shared" si="72"/>
        <v>0</v>
      </c>
      <c r="AM90" s="151">
        <f t="shared" si="73"/>
        <v>0</v>
      </c>
      <c r="AN90" s="152">
        <f t="shared" si="74"/>
        <v>0</v>
      </c>
      <c r="AO90" s="135">
        <f t="shared" si="75"/>
        <v>0</v>
      </c>
      <c r="AP90" s="146">
        <f t="shared" si="76"/>
        <v>0</v>
      </c>
      <c r="AQ90" s="152">
        <f t="shared" si="77"/>
        <v>0</v>
      </c>
      <c r="AR90" s="151">
        <f t="shared" si="78"/>
        <v>0</v>
      </c>
      <c r="AS90" s="152">
        <f t="shared" si="79"/>
        <v>0</v>
      </c>
      <c r="AT90" s="135">
        <f t="shared" si="80"/>
        <v>0</v>
      </c>
      <c r="AU90" s="151">
        <f t="shared" si="81"/>
        <v>0</v>
      </c>
      <c r="AV90" s="152">
        <f t="shared" si="82"/>
        <v>0</v>
      </c>
      <c r="AW90" s="135">
        <f t="shared" si="83"/>
        <v>0</v>
      </c>
      <c r="AX90" s="134">
        <f t="shared" si="84"/>
        <v>0</v>
      </c>
      <c r="AY90" s="498" t="str">
        <f t="shared" si="54"/>
        <v/>
      </c>
      <c r="AZ90" s="152">
        <f t="shared" si="85"/>
        <v>0</v>
      </c>
      <c r="BA90" s="135">
        <f t="shared" si="86"/>
        <v>0</v>
      </c>
      <c r="BB90" s="151">
        <f t="shared" si="87"/>
        <v>0</v>
      </c>
      <c r="BC90" s="301" t="b">
        <f t="shared" si="88"/>
        <v>0</v>
      </c>
      <c r="BD90" s="109"/>
      <c r="BE90" s="313">
        <f t="shared" si="89"/>
        <v>0</v>
      </c>
      <c r="BF90" s="314">
        <f t="shared" si="90"/>
        <v>0</v>
      </c>
      <c r="BG90" s="314">
        <f t="shared" si="91"/>
        <v>0</v>
      </c>
      <c r="BH90" s="315">
        <f t="shared" si="92"/>
        <v>0</v>
      </c>
      <c r="BI90" s="308">
        <f t="shared" si="93"/>
        <v>0</v>
      </c>
      <c r="BJ90" s="308">
        <f t="shared" si="94"/>
        <v>0</v>
      </c>
      <c r="BK90" s="170">
        <f t="shared" si="95"/>
        <v>0</v>
      </c>
      <c r="BL90" s="324">
        <f t="shared" si="96"/>
        <v>0</v>
      </c>
      <c r="BM90" s="324">
        <f t="shared" si="97"/>
        <v>0</v>
      </c>
      <c r="BN90" s="324">
        <f t="shared" si="98"/>
        <v>0</v>
      </c>
      <c r="BO90" s="325">
        <f t="shared" si="99"/>
        <v>0</v>
      </c>
      <c r="BP90" s="326">
        <f t="shared" si="100"/>
        <v>0</v>
      </c>
      <c r="BQ90" s="324">
        <f t="shared" si="101"/>
        <v>0</v>
      </c>
      <c r="BR90" s="324">
        <f t="shared" si="102"/>
        <v>0</v>
      </c>
      <c r="BS90" s="325">
        <f t="shared" si="103"/>
        <v>0</v>
      </c>
      <c r="BT90" s="10"/>
      <c r="BU90" s="288">
        <f t="shared" si="104"/>
        <v>0</v>
      </c>
      <c r="BV90" s="289">
        <f t="shared" si="105"/>
        <v>0</v>
      </c>
      <c r="BW90" s="134">
        <f t="shared" si="106"/>
        <v>0</v>
      </c>
      <c r="BX90" s="294">
        <f t="shared" si="107"/>
        <v>0</v>
      </c>
      <c r="BY90" s="295">
        <f t="shared" si="108"/>
        <v>0</v>
      </c>
      <c r="BZ90" s="10"/>
      <c r="CA90" s="190">
        <f t="shared" si="109"/>
        <v>0</v>
      </c>
      <c r="CB90" s="191">
        <f t="shared" si="110"/>
        <v>0</v>
      </c>
      <c r="CC90" s="99">
        <f t="shared" si="111"/>
        <v>0</v>
      </c>
      <c r="CD90" s="299" t="str">
        <f t="shared" si="112"/>
        <v/>
      </c>
      <c r="CE90" s="305"/>
      <c r="CF90" s="10"/>
      <c r="CG90" s="10"/>
      <c r="CH90" s="10"/>
      <c r="CI90" s="10"/>
      <c r="CJ90" s="10"/>
      <c r="CK90" s="10"/>
      <c r="CL90" s="10"/>
      <c r="CM90" s="10"/>
      <c r="CN90" s="10"/>
      <c r="CO90" s="10"/>
      <c r="CP90" s="10"/>
      <c r="CQ90" s="10"/>
      <c r="CR90" s="10"/>
      <c r="CS90" s="10"/>
      <c r="CT90" s="10"/>
      <c r="CU90" s="10"/>
    </row>
    <row r="91" spans="1:99" ht="13.5" hidden="1" thickBot="1" x14ac:dyDescent="0.25">
      <c r="A91" s="11"/>
      <c r="B91" s="522" t="str">
        <f t="shared" si="41"/>
        <v>-</v>
      </c>
      <c r="C91" s="566">
        <v>59</v>
      </c>
      <c r="D91" s="616"/>
      <c r="E91" s="617"/>
      <c r="F91" s="515"/>
      <c r="G91" s="516"/>
      <c r="H91" s="581"/>
      <c r="I91" s="581"/>
      <c r="J91" s="569"/>
      <c r="K91" s="586"/>
      <c r="L91" s="587"/>
      <c r="M91" s="588"/>
      <c r="N91" s="589"/>
      <c r="O91" s="452" t="str">
        <f t="shared" si="113"/>
        <v/>
      </c>
      <c r="P91" s="453" t="str">
        <f t="shared" si="114"/>
        <v/>
      </c>
      <c r="Q91" s="499">
        <f t="shared" si="115"/>
        <v>0</v>
      </c>
      <c r="R91" s="500">
        <f t="shared" si="116"/>
        <v>0</v>
      </c>
      <c r="S91" s="454">
        <f t="shared" si="117"/>
        <v>0</v>
      </c>
      <c r="T91" s="524" t="str">
        <f t="shared" si="118"/>
        <v/>
      </c>
      <c r="U91" s="11"/>
      <c r="V91" s="12"/>
      <c r="W91" s="10"/>
      <c r="X91" s="10"/>
      <c r="Y91" s="10">
        <v>59</v>
      </c>
      <c r="Z91" s="71" t="str">
        <f t="shared" si="119"/>
        <v>-</v>
      </c>
      <c r="AA91" s="71">
        <f t="shared" si="120"/>
        <v>0</v>
      </c>
      <c r="AB91" s="10"/>
      <c r="AC91" s="134">
        <f t="shared" si="65"/>
        <v>0</v>
      </c>
      <c r="AD91" s="135">
        <f>IF(SUM(AC91:AC$112)=0,0,COUNTA(F91:G91)&gt;0)</f>
        <v>0</v>
      </c>
      <c r="AE91" s="134">
        <f t="shared" si="66"/>
        <v>0</v>
      </c>
      <c r="AF91" s="475">
        <f>IF(SUM(AC91:AC$112)=0,0,AND(AD91=FALSE,AE91=0,SUM(AE92:AE$112)&gt;0))</f>
        <v>0</v>
      </c>
      <c r="AG91" s="152">
        <f t="shared" si="67"/>
        <v>0</v>
      </c>
      <c r="AH91" s="135">
        <f t="shared" si="68"/>
        <v>0</v>
      </c>
      <c r="AI91" s="135">
        <f t="shared" si="69"/>
        <v>0</v>
      </c>
      <c r="AJ91" s="135">
        <f t="shared" si="70"/>
        <v>0</v>
      </c>
      <c r="AK91" s="183">
        <f t="shared" si="71"/>
        <v>0</v>
      </c>
      <c r="AL91" s="135">
        <f t="shared" si="72"/>
        <v>0</v>
      </c>
      <c r="AM91" s="151">
        <f t="shared" si="73"/>
        <v>0</v>
      </c>
      <c r="AN91" s="152">
        <f t="shared" si="74"/>
        <v>0</v>
      </c>
      <c r="AO91" s="135">
        <f t="shared" si="75"/>
        <v>0</v>
      </c>
      <c r="AP91" s="146">
        <f t="shared" si="76"/>
        <v>0</v>
      </c>
      <c r="AQ91" s="152">
        <f t="shared" si="77"/>
        <v>0</v>
      </c>
      <c r="AR91" s="151">
        <f t="shared" si="78"/>
        <v>0</v>
      </c>
      <c r="AS91" s="152">
        <f t="shared" si="79"/>
        <v>0</v>
      </c>
      <c r="AT91" s="135">
        <f t="shared" si="80"/>
        <v>0</v>
      </c>
      <c r="AU91" s="151">
        <f t="shared" si="81"/>
        <v>0</v>
      </c>
      <c r="AV91" s="152">
        <f t="shared" si="82"/>
        <v>0</v>
      </c>
      <c r="AW91" s="135">
        <f t="shared" si="83"/>
        <v>0</v>
      </c>
      <c r="AX91" s="134">
        <f t="shared" si="84"/>
        <v>0</v>
      </c>
      <c r="AY91" s="498" t="str">
        <f t="shared" si="54"/>
        <v/>
      </c>
      <c r="AZ91" s="152">
        <f t="shared" si="85"/>
        <v>0</v>
      </c>
      <c r="BA91" s="135">
        <f t="shared" si="86"/>
        <v>0</v>
      </c>
      <c r="BB91" s="151">
        <f t="shared" si="87"/>
        <v>0</v>
      </c>
      <c r="BC91" s="301" t="b">
        <f t="shared" si="88"/>
        <v>0</v>
      </c>
      <c r="BD91" s="109"/>
      <c r="BE91" s="313">
        <f t="shared" si="89"/>
        <v>0</v>
      </c>
      <c r="BF91" s="314">
        <f t="shared" si="90"/>
        <v>0</v>
      </c>
      <c r="BG91" s="314">
        <f t="shared" si="91"/>
        <v>0</v>
      </c>
      <c r="BH91" s="315">
        <f t="shared" si="92"/>
        <v>0</v>
      </c>
      <c r="BI91" s="308">
        <f t="shared" si="93"/>
        <v>0</v>
      </c>
      <c r="BJ91" s="308">
        <f t="shared" si="94"/>
        <v>0</v>
      </c>
      <c r="BK91" s="170">
        <f t="shared" si="95"/>
        <v>0</v>
      </c>
      <c r="BL91" s="324">
        <f t="shared" si="96"/>
        <v>0</v>
      </c>
      <c r="BM91" s="324">
        <f t="shared" si="97"/>
        <v>0</v>
      </c>
      <c r="BN91" s="324">
        <f t="shared" si="98"/>
        <v>0</v>
      </c>
      <c r="BO91" s="325">
        <f t="shared" si="99"/>
        <v>0</v>
      </c>
      <c r="BP91" s="326">
        <f t="shared" si="100"/>
        <v>0</v>
      </c>
      <c r="BQ91" s="324">
        <f t="shared" si="101"/>
        <v>0</v>
      </c>
      <c r="BR91" s="324">
        <f t="shared" si="102"/>
        <v>0</v>
      </c>
      <c r="BS91" s="325">
        <f t="shared" si="103"/>
        <v>0</v>
      </c>
      <c r="BT91" s="10"/>
      <c r="BU91" s="288">
        <f t="shared" si="104"/>
        <v>0</v>
      </c>
      <c r="BV91" s="289">
        <f t="shared" si="105"/>
        <v>0</v>
      </c>
      <c r="BW91" s="134">
        <f t="shared" si="106"/>
        <v>0</v>
      </c>
      <c r="BX91" s="294">
        <f t="shared" si="107"/>
        <v>0</v>
      </c>
      <c r="BY91" s="295">
        <f t="shared" si="108"/>
        <v>0</v>
      </c>
      <c r="BZ91" s="10"/>
      <c r="CA91" s="190">
        <f t="shared" si="109"/>
        <v>0</v>
      </c>
      <c r="CB91" s="191">
        <f t="shared" si="110"/>
        <v>0</v>
      </c>
      <c r="CC91" s="99">
        <f t="shared" si="111"/>
        <v>0</v>
      </c>
      <c r="CD91" s="299" t="str">
        <f t="shared" si="112"/>
        <v/>
      </c>
      <c r="CE91" s="305"/>
      <c r="CF91" s="10"/>
      <c r="CG91" s="10"/>
      <c r="CH91" s="10"/>
      <c r="CI91" s="10"/>
      <c r="CJ91" s="10"/>
      <c r="CK91" s="10"/>
      <c r="CL91" s="10"/>
      <c r="CM91" s="10"/>
      <c r="CN91" s="10"/>
      <c r="CO91" s="10"/>
      <c r="CP91" s="10"/>
      <c r="CQ91" s="10"/>
      <c r="CR91" s="10"/>
      <c r="CS91" s="10"/>
      <c r="CT91" s="10"/>
      <c r="CU91" s="10"/>
    </row>
    <row r="92" spans="1:99" ht="13.5" hidden="1" thickBot="1" x14ac:dyDescent="0.25">
      <c r="A92" s="11"/>
      <c r="B92" s="522" t="str">
        <f t="shared" si="41"/>
        <v>-</v>
      </c>
      <c r="C92" s="566">
        <v>60</v>
      </c>
      <c r="D92" s="616"/>
      <c r="E92" s="617"/>
      <c r="F92" s="515"/>
      <c r="G92" s="516"/>
      <c r="H92" s="581"/>
      <c r="I92" s="581"/>
      <c r="J92" s="569"/>
      <c r="K92" s="586"/>
      <c r="L92" s="587"/>
      <c r="M92" s="588"/>
      <c r="N92" s="589"/>
      <c r="O92" s="452" t="str">
        <f t="shared" si="113"/>
        <v/>
      </c>
      <c r="P92" s="453" t="str">
        <f t="shared" si="114"/>
        <v/>
      </c>
      <c r="Q92" s="499">
        <f t="shared" si="115"/>
        <v>0</v>
      </c>
      <c r="R92" s="500">
        <f t="shared" si="116"/>
        <v>0</v>
      </c>
      <c r="S92" s="454">
        <f t="shared" si="117"/>
        <v>0</v>
      </c>
      <c r="T92" s="524" t="str">
        <f t="shared" si="118"/>
        <v/>
      </c>
      <c r="U92" s="11"/>
      <c r="V92" s="12"/>
      <c r="W92" s="10"/>
      <c r="X92" s="10"/>
      <c r="Y92" s="10">
        <v>60</v>
      </c>
      <c r="Z92" s="71" t="str">
        <f t="shared" si="119"/>
        <v>-</v>
      </c>
      <c r="AA92" s="71">
        <f t="shared" si="120"/>
        <v>0</v>
      </c>
      <c r="AB92" s="10"/>
      <c r="AC92" s="134">
        <f t="shared" si="65"/>
        <v>0</v>
      </c>
      <c r="AD92" s="135">
        <f>IF(SUM(AC92:AC$112)=0,0,COUNTA(F92:G92)&gt;0)</f>
        <v>0</v>
      </c>
      <c r="AE92" s="134">
        <f t="shared" si="66"/>
        <v>0</v>
      </c>
      <c r="AF92" s="475">
        <f>IF(SUM(AC92:AC$112)=0,0,AND(AD92=FALSE,AE92=0,SUM(AE93:AE$112)&gt;0))</f>
        <v>0</v>
      </c>
      <c r="AG92" s="152">
        <f t="shared" si="67"/>
        <v>0</v>
      </c>
      <c r="AH92" s="135">
        <f t="shared" si="68"/>
        <v>0</v>
      </c>
      <c r="AI92" s="135">
        <f t="shared" si="69"/>
        <v>0</v>
      </c>
      <c r="AJ92" s="135">
        <f t="shared" si="70"/>
        <v>0</v>
      </c>
      <c r="AK92" s="183">
        <f t="shared" si="71"/>
        <v>0</v>
      </c>
      <c r="AL92" s="135">
        <f t="shared" si="72"/>
        <v>0</v>
      </c>
      <c r="AM92" s="151">
        <f t="shared" si="73"/>
        <v>0</v>
      </c>
      <c r="AN92" s="152">
        <f t="shared" si="74"/>
        <v>0</v>
      </c>
      <c r="AO92" s="135">
        <f t="shared" si="75"/>
        <v>0</v>
      </c>
      <c r="AP92" s="146">
        <f t="shared" si="76"/>
        <v>0</v>
      </c>
      <c r="AQ92" s="152">
        <f t="shared" si="77"/>
        <v>0</v>
      </c>
      <c r="AR92" s="151">
        <f t="shared" si="78"/>
        <v>0</v>
      </c>
      <c r="AS92" s="152">
        <f t="shared" si="79"/>
        <v>0</v>
      </c>
      <c r="AT92" s="135">
        <f t="shared" si="80"/>
        <v>0</v>
      </c>
      <c r="AU92" s="151">
        <f t="shared" si="81"/>
        <v>0</v>
      </c>
      <c r="AV92" s="152">
        <f t="shared" si="82"/>
        <v>0</v>
      </c>
      <c r="AW92" s="135">
        <f t="shared" si="83"/>
        <v>0</v>
      </c>
      <c r="AX92" s="134">
        <f t="shared" si="84"/>
        <v>0</v>
      </c>
      <c r="AY92" s="498" t="str">
        <f t="shared" si="54"/>
        <v/>
      </c>
      <c r="AZ92" s="152">
        <f t="shared" si="85"/>
        <v>0</v>
      </c>
      <c r="BA92" s="135">
        <f t="shared" si="86"/>
        <v>0</v>
      </c>
      <c r="BB92" s="151">
        <f t="shared" si="87"/>
        <v>0</v>
      </c>
      <c r="BC92" s="301" t="b">
        <f t="shared" si="88"/>
        <v>0</v>
      </c>
      <c r="BD92" s="109"/>
      <c r="BE92" s="313">
        <f t="shared" si="89"/>
        <v>0</v>
      </c>
      <c r="BF92" s="314">
        <f t="shared" si="90"/>
        <v>0</v>
      </c>
      <c r="BG92" s="314">
        <f t="shared" si="91"/>
        <v>0</v>
      </c>
      <c r="BH92" s="315">
        <f t="shared" si="92"/>
        <v>0</v>
      </c>
      <c r="BI92" s="308">
        <f t="shared" si="93"/>
        <v>0</v>
      </c>
      <c r="BJ92" s="308">
        <f t="shared" si="94"/>
        <v>0</v>
      </c>
      <c r="BK92" s="170">
        <f t="shared" si="95"/>
        <v>0</v>
      </c>
      <c r="BL92" s="324">
        <f t="shared" si="96"/>
        <v>0</v>
      </c>
      <c r="BM92" s="324">
        <f t="shared" si="97"/>
        <v>0</v>
      </c>
      <c r="BN92" s="324">
        <f t="shared" si="98"/>
        <v>0</v>
      </c>
      <c r="BO92" s="325">
        <f t="shared" si="99"/>
        <v>0</v>
      </c>
      <c r="BP92" s="326">
        <f t="shared" si="100"/>
        <v>0</v>
      </c>
      <c r="BQ92" s="324">
        <f t="shared" si="101"/>
        <v>0</v>
      </c>
      <c r="BR92" s="324">
        <f t="shared" si="102"/>
        <v>0</v>
      </c>
      <c r="BS92" s="325">
        <f t="shared" si="103"/>
        <v>0</v>
      </c>
      <c r="BT92" s="10"/>
      <c r="BU92" s="288">
        <f t="shared" si="104"/>
        <v>0</v>
      </c>
      <c r="BV92" s="289">
        <f t="shared" si="105"/>
        <v>0</v>
      </c>
      <c r="BW92" s="134">
        <f t="shared" si="106"/>
        <v>0</v>
      </c>
      <c r="BX92" s="294">
        <f t="shared" si="107"/>
        <v>0</v>
      </c>
      <c r="BY92" s="295">
        <f t="shared" si="108"/>
        <v>0</v>
      </c>
      <c r="BZ92" s="10"/>
      <c r="CA92" s="190">
        <f t="shared" si="109"/>
        <v>0</v>
      </c>
      <c r="CB92" s="191">
        <f t="shared" si="110"/>
        <v>0</v>
      </c>
      <c r="CC92" s="99">
        <f t="shared" si="111"/>
        <v>0</v>
      </c>
      <c r="CD92" s="299" t="str">
        <f t="shared" si="112"/>
        <v/>
      </c>
      <c r="CE92" s="305"/>
      <c r="CF92" s="10"/>
      <c r="CG92" s="10"/>
      <c r="CH92" s="10"/>
      <c r="CI92" s="10"/>
      <c r="CJ92" s="10"/>
      <c r="CK92" s="10"/>
      <c r="CL92" s="10"/>
      <c r="CM92" s="10"/>
      <c r="CN92" s="10"/>
      <c r="CO92" s="10"/>
      <c r="CP92" s="10"/>
      <c r="CQ92" s="10"/>
      <c r="CR92" s="10"/>
      <c r="CS92" s="10"/>
      <c r="CT92" s="10"/>
      <c r="CU92" s="10"/>
    </row>
    <row r="93" spans="1:99" ht="13.5" hidden="1" thickBot="1" x14ac:dyDescent="0.25">
      <c r="A93" s="11"/>
      <c r="B93" s="522" t="str">
        <f t="shared" si="41"/>
        <v>-</v>
      </c>
      <c r="C93" s="566">
        <v>61</v>
      </c>
      <c r="D93" s="616"/>
      <c r="E93" s="617"/>
      <c r="F93" s="515"/>
      <c r="G93" s="516"/>
      <c r="H93" s="581"/>
      <c r="I93" s="581"/>
      <c r="J93" s="569"/>
      <c r="K93" s="586"/>
      <c r="L93" s="587"/>
      <c r="M93" s="588"/>
      <c r="N93" s="589"/>
      <c r="O93" s="452" t="str">
        <f t="shared" si="113"/>
        <v/>
      </c>
      <c r="P93" s="453" t="str">
        <f t="shared" si="114"/>
        <v/>
      </c>
      <c r="Q93" s="499">
        <f t="shared" si="115"/>
        <v>0</v>
      </c>
      <c r="R93" s="500">
        <f t="shared" si="116"/>
        <v>0</v>
      </c>
      <c r="S93" s="454">
        <f t="shared" si="117"/>
        <v>0</v>
      </c>
      <c r="T93" s="524" t="str">
        <f t="shared" si="118"/>
        <v/>
      </c>
      <c r="U93" s="11"/>
      <c r="V93" s="12"/>
      <c r="W93" s="10"/>
      <c r="X93" s="10"/>
      <c r="Y93" s="10">
        <v>61</v>
      </c>
      <c r="Z93" s="71" t="str">
        <f t="shared" si="119"/>
        <v>-</v>
      </c>
      <c r="AA93" s="71">
        <f t="shared" si="120"/>
        <v>0</v>
      </c>
      <c r="AB93" s="10"/>
      <c r="AC93" s="134">
        <f t="shared" si="65"/>
        <v>0</v>
      </c>
      <c r="AD93" s="135">
        <f>IF(SUM(AC93:AC$112)=0,0,COUNTA(F93:G93)&gt;0)</f>
        <v>0</v>
      </c>
      <c r="AE93" s="134">
        <f t="shared" si="66"/>
        <v>0</v>
      </c>
      <c r="AF93" s="475">
        <f>IF(SUM(AC93:AC$112)=0,0,AND(AD93=FALSE,AE93=0,SUM(AE94:AE$112)&gt;0))</f>
        <v>0</v>
      </c>
      <c r="AG93" s="152">
        <f t="shared" si="67"/>
        <v>0</v>
      </c>
      <c r="AH93" s="135">
        <f t="shared" si="68"/>
        <v>0</v>
      </c>
      <c r="AI93" s="135">
        <f t="shared" si="69"/>
        <v>0</v>
      </c>
      <c r="AJ93" s="135">
        <f t="shared" si="70"/>
        <v>0</v>
      </c>
      <c r="AK93" s="183">
        <f t="shared" si="71"/>
        <v>0</v>
      </c>
      <c r="AL93" s="135">
        <f t="shared" si="72"/>
        <v>0</v>
      </c>
      <c r="AM93" s="151">
        <f t="shared" si="73"/>
        <v>0</v>
      </c>
      <c r="AN93" s="152">
        <f t="shared" si="74"/>
        <v>0</v>
      </c>
      <c r="AO93" s="135">
        <f t="shared" si="75"/>
        <v>0</v>
      </c>
      <c r="AP93" s="146">
        <f t="shared" si="76"/>
        <v>0</v>
      </c>
      <c r="AQ93" s="152">
        <f t="shared" si="77"/>
        <v>0</v>
      </c>
      <c r="AR93" s="151">
        <f t="shared" si="78"/>
        <v>0</v>
      </c>
      <c r="AS93" s="152">
        <f t="shared" si="79"/>
        <v>0</v>
      </c>
      <c r="AT93" s="135">
        <f t="shared" si="80"/>
        <v>0</v>
      </c>
      <c r="AU93" s="151">
        <f t="shared" si="81"/>
        <v>0</v>
      </c>
      <c r="AV93" s="152">
        <f t="shared" si="82"/>
        <v>0</v>
      </c>
      <c r="AW93" s="135">
        <f t="shared" si="83"/>
        <v>0</v>
      </c>
      <c r="AX93" s="134">
        <f t="shared" si="84"/>
        <v>0</v>
      </c>
      <c r="AY93" s="498" t="str">
        <f t="shared" si="54"/>
        <v/>
      </c>
      <c r="AZ93" s="152">
        <f t="shared" si="85"/>
        <v>0</v>
      </c>
      <c r="BA93" s="135">
        <f t="shared" si="86"/>
        <v>0</v>
      </c>
      <c r="BB93" s="151">
        <f t="shared" si="87"/>
        <v>0</v>
      </c>
      <c r="BC93" s="301" t="b">
        <f t="shared" si="88"/>
        <v>0</v>
      </c>
      <c r="BD93" s="109"/>
      <c r="BE93" s="313">
        <f t="shared" si="89"/>
        <v>0</v>
      </c>
      <c r="BF93" s="314">
        <f t="shared" si="90"/>
        <v>0</v>
      </c>
      <c r="BG93" s="314">
        <f t="shared" si="91"/>
        <v>0</v>
      </c>
      <c r="BH93" s="315">
        <f t="shared" si="92"/>
        <v>0</v>
      </c>
      <c r="BI93" s="308">
        <f t="shared" si="93"/>
        <v>0</v>
      </c>
      <c r="BJ93" s="308">
        <f t="shared" si="94"/>
        <v>0</v>
      </c>
      <c r="BK93" s="170">
        <f t="shared" si="95"/>
        <v>0</v>
      </c>
      <c r="BL93" s="324">
        <f t="shared" si="96"/>
        <v>0</v>
      </c>
      <c r="BM93" s="324">
        <f t="shared" si="97"/>
        <v>0</v>
      </c>
      <c r="BN93" s="324">
        <f t="shared" si="98"/>
        <v>0</v>
      </c>
      <c r="BO93" s="325">
        <f t="shared" si="99"/>
        <v>0</v>
      </c>
      <c r="BP93" s="326">
        <f t="shared" si="100"/>
        <v>0</v>
      </c>
      <c r="BQ93" s="324">
        <f t="shared" si="101"/>
        <v>0</v>
      </c>
      <c r="BR93" s="324">
        <f t="shared" si="102"/>
        <v>0</v>
      </c>
      <c r="BS93" s="325">
        <f t="shared" si="103"/>
        <v>0</v>
      </c>
      <c r="BT93" s="10"/>
      <c r="BU93" s="288">
        <f t="shared" si="104"/>
        <v>0</v>
      </c>
      <c r="BV93" s="289">
        <f t="shared" si="105"/>
        <v>0</v>
      </c>
      <c r="BW93" s="134">
        <f t="shared" si="106"/>
        <v>0</v>
      </c>
      <c r="BX93" s="294">
        <f t="shared" si="107"/>
        <v>0</v>
      </c>
      <c r="BY93" s="295">
        <f t="shared" si="108"/>
        <v>0</v>
      </c>
      <c r="BZ93" s="10"/>
      <c r="CA93" s="190">
        <f t="shared" si="109"/>
        <v>0</v>
      </c>
      <c r="CB93" s="191">
        <f t="shared" si="110"/>
        <v>0</v>
      </c>
      <c r="CC93" s="99">
        <f t="shared" si="111"/>
        <v>0</v>
      </c>
      <c r="CD93" s="299" t="str">
        <f t="shared" si="112"/>
        <v/>
      </c>
      <c r="CE93" s="305"/>
      <c r="CF93" s="10"/>
      <c r="CG93" s="10"/>
      <c r="CH93" s="10"/>
      <c r="CI93" s="10"/>
      <c r="CJ93" s="10"/>
      <c r="CK93" s="10"/>
      <c r="CL93" s="10"/>
      <c r="CM93" s="10"/>
      <c r="CN93" s="10"/>
      <c r="CO93" s="10"/>
      <c r="CP93" s="10"/>
      <c r="CQ93" s="10"/>
      <c r="CR93" s="10"/>
      <c r="CS93" s="10"/>
      <c r="CT93" s="10"/>
      <c r="CU93" s="10"/>
    </row>
    <row r="94" spans="1:99" ht="13.5" hidden="1" thickBot="1" x14ac:dyDescent="0.25">
      <c r="A94" s="11"/>
      <c r="B94" s="522" t="str">
        <f t="shared" si="41"/>
        <v>-</v>
      </c>
      <c r="C94" s="566">
        <v>62</v>
      </c>
      <c r="D94" s="616"/>
      <c r="E94" s="617"/>
      <c r="F94" s="515"/>
      <c r="G94" s="516"/>
      <c r="H94" s="581"/>
      <c r="I94" s="581"/>
      <c r="J94" s="569"/>
      <c r="K94" s="586"/>
      <c r="L94" s="587"/>
      <c r="M94" s="588"/>
      <c r="N94" s="589"/>
      <c r="O94" s="452" t="str">
        <f t="shared" si="113"/>
        <v/>
      </c>
      <c r="P94" s="453" t="str">
        <f t="shared" si="114"/>
        <v/>
      </c>
      <c r="Q94" s="499">
        <f t="shared" si="115"/>
        <v>0</v>
      </c>
      <c r="R94" s="500">
        <f t="shared" si="116"/>
        <v>0</v>
      </c>
      <c r="S94" s="454">
        <f t="shared" si="117"/>
        <v>0</v>
      </c>
      <c r="T94" s="524" t="str">
        <f t="shared" si="118"/>
        <v/>
      </c>
      <c r="U94" s="11"/>
      <c r="V94" s="12"/>
      <c r="W94" s="10"/>
      <c r="X94" s="10"/>
      <c r="Y94" s="10">
        <v>62</v>
      </c>
      <c r="Z94" s="71" t="str">
        <f t="shared" si="119"/>
        <v>-</v>
      </c>
      <c r="AA94" s="71">
        <f t="shared" si="120"/>
        <v>0</v>
      </c>
      <c r="AB94" s="10"/>
      <c r="AC94" s="134">
        <f t="shared" si="65"/>
        <v>0</v>
      </c>
      <c r="AD94" s="135">
        <f>IF(SUM(AC94:AC$112)=0,0,COUNTA(F94:G94)&gt;0)</f>
        <v>0</v>
      </c>
      <c r="AE94" s="134">
        <f t="shared" si="66"/>
        <v>0</v>
      </c>
      <c r="AF94" s="475">
        <f>IF(SUM(AC94:AC$112)=0,0,AND(AD94=FALSE,AE94=0,SUM(AE95:AE$112)&gt;0))</f>
        <v>0</v>
      </c>
      <c r="AG94" s="152">
        <f t="shared" si="67"/>
        <v>0</v>
      </c>
      <c r="AH94" s="135">
        <f t="shared" si="68"/>
        <v>0</v>
      </c>
      <c r="AI94" s="135">
        <f t="shared" si="69"/>
        <v>0</v>
      </c>
      <c r="AJ94" s="135">
        <f t="shared" si="70"/>
        <v>0</v>
      </c>
      <c r="AK94" s="183">
        <f t="shared" si="71"/>
        <v>0</v>
      </c>
      <c r="AL94" s="135">
        <f t="shared" si="72"/>
        <v>0</v>
      </c>
      <c r="AM94" s="151">
        <f t="shared" si="73"/>
        <v>0</v>
      </c>
      <c r="AN94" s="152">
        <f t="shared" si="74"/>
        <v>0</v>
      </c>
      <c r="AO94" s="135">
        <f t="shared" si="75"/>
        <v>0</v>
      </c>
      <c r="AP94" s="146">
        <f t="shared" si="76"/>
        <v>0</v>
      </c>
      <c r="AQ94" s="152">
        <f t="shared" si="77"/>
        <v>0</v>
      </c>
      <c r="AR94" s="151">
        <f t="shared" si="78"/>
        <v>0</v>
      </c>
      <c r="AS94" s="152">
        <f t="shared" si="79"/>
        <v>0</v>
      </c>
      <c r="AT94" s="135">
        <f t="shared" si="80"/>
        <v>0</v>
      </c>
      <c r="AU94" s="151">
        <f t="shared" si="81"/>
        <v>0</v>
      </c>
      <c r="AV94" s="152">
        <f t="shared" si="82"/>
        <v>0</v>
      </c>
      <c r="AW94" s="135">
        <f t="shared" si="83"/>
        <v>0</v>
      </c>
      <c r="AX94" s="134">
        <f t="shared" si="84"/>
        <v>0</v>
      </c>
      <c r="AY94" s="498" t="str">
        <f t="shared" si="54"/>
        <v/>
      </c>
      <c r="AZ94" s="152">
        <f t="shared" si="85"/>
        <v>0</v>
      </c>
      <c r="BA94" s="135">
        <f t="shared" si="86"/>
        <v>0</v>
      </c>
      <c r="BB94" s="151">
        <f t="shared" si="87"/>
        <v>0</v>
      </c>
      <c r="BC94" s="301" t="b">
        <f t="shared" si="88"/>
        <v>0</v>
      </c>
      <c r="BD94" s="109"/>
      <c r="BE94" s="313">
        <f t="shared" si="89"/>
        <v>0</v>
      </c>
      <c r="BF94" s="314">
        <f t="shared" si="90"/>
        <v>0</v>
      </c>
      <c r="BG94" s="314">
        <f t="shared" si="91"/>
        <v>0</v>
      </c>
      <c r="BH94" s="315">
        <f t="shared" si="92"/>
        <v>0</v>
      </c>
      <c r="BI94" s="308">
        <f t="shared" si="93"/>
        <v>0</v>
      </c>
      <c r="BJ94" s="308">
        <f t="shared" si="94"/>
        <v>0</v>
      </c>
      <c r="BK94" s="170">
        <f t="shared" si="95"/>
        <v>0</v>
      </c>
      <c r="BL94" s="324">
        <f t="shared" si="96"/>
        <v>0</v>
      </c>
      <c r="BM94" s="324">
        <f t="shared" si="97"/>
        <v>0</v>
      </c>
      <c r="BN94" s="324">
        <f t="shared" si="98"/>
        <v>0</v>
      </c>
      <c r="BO94" s="325">
        <f t="shared" si="99"/>
        <v>0</v>
      </c>
      <c r="BP94" s="326">
        <f t="shared" si="100"/>
        <v>0</v>
      </c>
      <c r="BQ94" s="324">
        <f t="shared" si="101"/>
        <v>0</v>
      </c>
      <c r="BR94" s="324">
        <f t="shared" si="102"/>
        <v>0</v>
      </c>
      <c r="BS94" s="325">
        <f t="shared" si="103"/>
        <v>0</v>
      </c>
      <c r="BT94" s="10"/>
      <c r="BU94" s="288">
        <f t="shared" si="104"/>
        <v>0</v>
      </c>
      <c r="BV94" s="289">
        <f t="shared" si="105"/>
        <v>0</v>
      </c>
      <c r="BW94" s="134">
        <f t="shared" si="106"/>
        <v>0</v>
      </c>
      <c r="BX94" s="294">
        <f t="shared" si="107"/>
        <v>0</v>
      </c>
      <c r="BY94" s="295">
        <f t="shared" si="108"/>
        <v>0</v>
      </c>
      <c r="BZ94" s="10"/>
      <c r="CA94" s="190">
        <f t="shared" si="109"/>
        <v>0</v>
      </c>
      <c r="CB94" s="191">
        <f t="shared" si="110"/>
        <v>0</v>
      </c>
      <c r="CC94" s="99">
        <f t="shared" si="111"/>
        <v>0</v>
      </c>
      <c r="CD94" s="299" t="str">
        <f t="shared" si="112"/>
        <v/>
      </c>
      <c r="CE94" s="305"/>
      <c r="CF94" s="10"/>
      <c r="CG94" s="10"/>
      <c r="CH94" s="10"/>
      <c r="CI94" s="10"/>
      <c r="CJ94" s="10"/>
      <c r="CK94" s="10"/>
      <c r="CL94" s="10"/>
      <c r="CM94" s="10"/>
      <c r="CN94" s="10"/>
      <c r="CO94" s="10"/>
      <c r="CP94" s="10"/>
      <c r="CQ94" s="10"/>
      <c r="CR94" s="10"/>
      <c r="CS94" s="10"/>
      <c r="CT94" s="10"/>
      <c r="CU94" s="10"/>
    </row>
    <row r="95" spans="1:99" ht="13.5" hidden="1" thickBot="1" x14ac:dyDescent="0.25">
      <c r="A95" s="11"/>
      <c r="B95" s="522" t="str">
        <f t="shared" si="41"/>
        <v>-</v>
      </c>
      <c r="C95" s="566">
        <v>63</v>
      </c>
      <c r="D95" s="616"/>
      <c r="E95" s="617"/>
      <c r="F95" s="515"/>
      <c r="G95" s="516"/>
      <c r="H95" s="581"/>
      <c r="I95" s="581"/>
      <c r="J95" s="569"/>
      <c r="K95" s="586"/>
      <c r="L95" s="587"/>
      <c r="M95" s="588"/>
      <c r="N95" s="589"/>
      <c r="O95" s="452" t="str">
        <f t="shared" si="113"/>
        <v/>
      </c>
      <c r="P95" s="453" t="str">
        <f t="shared" si="114"/>
        <v/>
      </c>
      <c r="Q95" s="499">
        <f t="shared" si="115"/>
        <v>0</v>
      </c>
      <c r="R95" s="500">
        <f t="shared" si="116"/>
        <v>0</v>
      </c>
      <c r="S95" s="454">
        <f t="shared" si="117"/>
        <v>0</v>
      </c>
      <c r="T95" s="524" t="str">
        <f t="shared" si="118"/>
        <v/>
      </c>
      <c r="U95" s="11"/>
      <c r="V95" s="12"/>
      <c r="W95" s="10"/>
      <c r="X95" s="10"/>
      <c r="Y95" s="10">
        <v>63</v>
      </c>
      <c r="Z95" s="71" t="str">
        <f t="shared" si="119"/>
        <v>-</v>
      </c>
      <c r="AA95" s="71">
        <f t="shared" si="120"/>
        <v>0</v>
      </c>
      <c r="AB95" s="10"/>
      <c r="AC95" s="134">
        <f t="shared" si="65"/>
        <v>0</v>
      </c>
      <c r="AD95" s="135">
        <f>IF(SUM(AC95:AC$112)=0,0,COUNTA(F95:G95)&gt;0)</f>
        <v>0</v>
      </c>
      <c r="AE95" s="134">
        <f t="shared" si="66"/>
        <v>0</v>
      </c>
      <c r="AF95" s="475">
        <f>IF(SUM(AC95:AC$112)=0,0,AND(AD95=FALSE,AE95=0,SUM(AE96:AE$112)&gt;0))</f>
        <v>0</v>
      </c>
      <c r="AG95" s="152">
        <f t="shared" si="67"/>
        <v>0</v>
      </c>
      <c r="AH95" s="135">
        <f t="shared" si="68"/>
        <v>0</v>
      </c>
      <c r="AI95" s="135">
        <f t="shared" si="69"/>
        <v>0</v>
      </c>
      <c r="AJ95" s="135">
        <f t="shared" si="70"/>
        <v>0</v>
      </c>
      <c r="AK95" s="183">
        <f t="shared" si="71"/>
        <v>0</v>
      </c>
      <c r="AL95" s="135">
        <f t="shared" si="72"/>
        <v>0</v>
      </c>
      <c r="AM95" s="151">
        <f t="shared" si="73"/>
        <v>0</v>
      </c>
      <c r="AN95" s="152">
        <f t="shared" si="74"/>
        <v>0</v>
      </c>
      <c r="AO95" s="135">
        <f t="shared" si="75"/>
        <v>0</v>
      </c>
      <c r="AP95" s="146">
        <f t="shared" si="76"/>
        <v>0</v>
      </c>
      <c r="AQ95" s="152">
        <f t="shared" si="77"/>
        <v>0</v>
      </c>
      <c r="AR95" s="151">
        <f t="shared" si="78"/>
        <v>0</v>
      </c>
      <c r="AS95" s="152">
        <f t="shared" si="79"/>
        <v>0</v>
      </c>
      <c r="AT95" s="135">
        <f t="shared" si="80"/>
        <v>0</v>
      </c>
      <c r="AU95" s="151">
        <f t="shared" si="81"/>
        <v>0</v>
      </c>
      <c r="AV95" s="152">
        <f t="shared" si="82"/>
        <v>0</v>
      </c>
      <c r="AW95" s="135">
        <f t="shared" si="83"/>
        <v>0</v>
      </c>
      <c r="AX95" s="134">
        <f t="shared" si="84"/>
        <v>0</v>
      </c>
      <c r="AY95" s="498" t="str">
        <f t="shared" si="54"/>
        <v/>
      </c>
      <c r="AZ95" s="152">
        <f t="shared" si="85"/>
        <v>0</v>
      </c>
      <c r="BA95" s="135">
        <f t="shared" si="86"/>
        <v>0</v>
      </c>
      <c r="BB95" s="151">
        <f t="shared" si="87"/>
        <v>0</v>
      </c>
      <c r="BC95" s="301" t="b">
        <f t="shared" si="88"/>
        <v>0</v>
      </c>
      <c r="BD95" s="109"/>
      <c r="BE95" s="313">
        <f t="shared" si="89"/>
        <v>0</v>
      </c>
      <c r="BF95" s="314">
        <f t="shared" si="90"/>
        <v>0</v>
      </c>
      <c r="BG95" s="314">
        <f t="shared" si="91"/>
        <v>0</v>
      </c>
      <c r="BH95" s="315">
        <f t="shared" si="92"/>
        <v>0</v>
      </c>
      <c r="BI95" s="308">
        <f t="shared" si="93"/>
        <v>0</v>
      </c>
      <c r="BJ95" s="308">
        <f t="shared" si="94"/>
        <v>0</v>
      </c>
      <c r="BK95" s="170">
        <f t="shared" si="95"/>
        <v>0</v>
      </c>
      <c r="BL95" s="324">
        <f t="shared" si="96"/>
        <v>0</v>
      </c>
      <c r="BM95" s="324">
        <f t="shared" si="97"/>
        <v>0</v>
      </c>
      <c r="BN95" s="324">
        <f t="shared" si="98"/>
        <v>0</v>
      </c>
      <c r="BO95" s="325">
        <f t="shared" si="99"/>
        <v>0</v>
      </c>
      <c r="BP95" s="326">
        <f t="shared" si="100"/>
        <v>0</v>
      </c>
      <c r="BQ95" s="324">
        <f t="shared" si="101"/>
        <v>0</v>
      </c>
      <c r="BR95" s="324">
        <f t="shared" si="102"/>
        <v>0</v>
      </c>
      <c r="BS95" s="325">
        <f t="shared" si="103"/>
        <v>0</v>
      </c>
      <c r="BT95" s="10"/>
      <c r="BU95" s="288">
        <f t="shared" si="104"/>
        <v>0</v>
      </c>
      <c r="BV95" s="289">
        <f t="shared" si="105"/>
        <v>0</v>
      </c>
      <c r="BW95" s="134">
        <f t="shared" si="106"/>
        <v>0</v>
      </c>
      <c r="BX95" s="294">
        <f t="shared" si="107"/>
        <v>0</v>
      </c>
      <c r="BY95" s="295">
        <f t="shared" si="108"/>
        <v>0</v>
      </c>
      <c r="BZ95" s="10"/>
      <c r="CA95" s="190">
        <f t="shared" si="109"/>
        <v>0</v>
      </c>
      <c r="CB95" s="191">
        <f t="shared" si="110"/>
        <v>0</v>
      </c>
      <c r="CC95" s="99">
        <f t="shared" si="111"/>
        <v>0</v>
      </c>
      <c r="CD95" s="299" t="str">
        <f t="shared" si="112"/>
        <v/>
      </c>
      <c r="CE95" s="305"/>
      <c r="CF95" s="10"/>
      <c r="CG95" s="10"/>
      <c r="CH95" s="10"/>
      <c r="CI95" s="10"/>
      <c r="CJ95" s="10"/>
      <c r="CK95" s="10"/>
      <c r="CL95" s="10"/>
      <c r="CM95" s="10"/>
      <c r="CN95" s="10"/>
      <c r="CO95" s="10"/>
      <c r="CP95" s="10"/>
      <c r="CQ95" s="10"/>
      <c r="CR95" s="10"/>
      <c r="CS95" s="10"/>
      <c r="CT95" s="10"/>
      <c r="CU95" s="10"/>
    </row>
    <row r="96" spans="1:99" ht="13.5" hidden="1" thickBot="1" x14ac:dyDescent="0.25">
      <c r="A96" s="11"/>
      <c r="B96" s="522" t="str">
        <f t="shared" si="41"/>
        <v>-</v>
      </c>
      <c r="C96" s="566">
        <v>64</v>
      </c>
      <c r="D96" s="616"/>
      <c r="E96" s="617"/>
      <c r="F96" s="515"/>
      <c r="G96" s="516"/>
      <c r="H96" s="581"/>
      <c r="I96" s="581"/>
      <c r="J96" s="569"/>
      <c r="K96" s="586"/>
      <c r="L96" s="587"/>
      <c r="M96" s="588"/>
      <c r="N96" s="589"/>
      <c r="O96" s="452" t="str">
        <f t="shared" si="113"/>
        <v/>
      </c>
      <c r="P96" s="453" t="str">
        <f t="shared" si="114"/>
        <v/>
      </c>
      <c r="Q96" s="499">
        <f t="shared" si="115"/>
        <v>0</v>
      </c>
      <c r="R96" s="500">
        <f t="shared" si="116"/>
        <v>0</v>
      </c>
      <c r="S96" s="454">
        <f t="shared" si="117"/>
        <v>0</v>
      </c>
      <c r="T96" s="524" t="str">
        <f t="shared" si="118"/>
        <v/>
      </c>
      <c r="U96" s="11"/>
      <c r="V96" s="12"/>
      <c r="W96" s="10"/>
      <c r="X96" s="10"/>
      <c r="Y96" s="10">
        <v>64</v>
      </c>
      <c r="Z96" s="71" t="str">
        <f t="shared" si="119"/>
        <v>-</v>
      </c>
      <c r="AA96" s="71">
        <f t="shared" si="120"/>
        <v>0</v>
      </c>
      <c r="AB96" s="10"/>
      <c r="AC96" s="134">
        <f t="shared" si="65"/>
        <v>0</v>
      </c>
      <c r="AD96" s="135">
        <f>IF(SUM(AC96:AC$112)=0,0,COUNTA(F96:G96)&gt;0)</f>
        <v>0</v>
      </c>
      <c r="AE96" s="134">
        <f t="shared" si="66"/>
        <v>0</v>
      </c>
      <c r="AF96" s="475">
        <f>IF(SUM(AC96:AC$112)=0,0,AND(AD96=FALSE,AE96=0,SUM(AE97:AE$112)&gt;0))</f>
        <v>0</v>
      </c>
      <c r="AG96" s="152">
        <f t="shared" si="67"/>
        <v>0</v>
      </c>
      <c r="AH96" s="135">
        <f t="shared" si="68"/>
        <v>0</v>
      </c>
      <c r="AI96" s="135">
        <f t="shared" si="69"/>
        <v>0</v>
      </c>
      <c r="AJ96" s="135">
        <f t="shared" si="70"/>
        <v>0</v>
      </c>
      <c r="AK96" s="183">
        <f t="shared" si="71"/>
        <v>0</v>
      </c>
      <c r="AL96" s="135">
        <f t="shared" si="72"/>
        <v>0</v>
      </c>
      <c r="AM96" s="151">
        <f t="shared" si="73"/>
        <v>0</v>
      </c>
      <c r="AN96" s="152">
        <f t="shared" si="74"/>
        <v>0</v>
      </c>
      <c r="AO96" s="135">
        <f t="shared" si="75"/>
        <v>0</v>
      </c>
      <c r="AP96" s="146">
        <f t="shared" si="76"/>
        <v>0</v>
      </c>
      <c r="AQ96" s="152">
        <f t="shared" si="77"/>
        <v>0</v>
      </c>
      <c r="AR96" s="151">
        <f t="shared" si="78"/>
        <v>0</v>
      </c>
      <c r="AS96" s="152">
        <f t="shared" si="79"/>
        <v>0</v>
      </c>
      <c r="AT96" s="135">
        <f t="shared" si="80"/>
        <v>0</v>
      </c>
      <c r="AU96" s="151">
        <f t="shared" si="81"/>
        <v>0</v>
      </c>
      <c r="AV96" s="152">
        <f t="shared" si="82"/>
        <v>0</v>
      </c>
      <c r="AW96" s="135">
        <f t="shared" si="83"/>
        <v>0</v>
      </c>
      <c r="AX96" s="134">
        <f t="shared" si="84"/>
        <v>0</v>
      </c>
      <c r="AY96" s="498" t="str">
        <f t="shared" si="54"/>
        <v/>
      </c>
      <c r="AZ96" s="152">
        <f t="shared" si="85"/>
        <v>0</v>
      </c>
      <c r="BA96" s="135">
        <f t="shared" si="86"/>
        <v>0</v>
      </c>
      <c r="BB96" s="151">
        <f t="shared" si="87"/>
        <v>0</v>
      </c>
      <c r="BC96" s="301" t="b">
        <f t="shared" si="88"/>
        <v>0</v>
      </c>
      <c r="BD96" s="109"/>
      <c r="BE96" s="313">
        <f t="shared" si="89"/>
        <v>0</v>
      </c>
      <c r="BF96" s="314">
        <f t="shared" si="90"/>
        <v>0</v>
      </c>
      <c r="BG96" s="314">
        <f t="shared" si="91"/>
        <v>0</v>
      </c>
      <c r="BH96" s="315">
        <f t="shared" si="92"/>
        <v>0</v>
      </c>
      <c r="BI96" s="308">
        <f t="shared" si="93"/>
        <v>0</v>
      </c>
      <c r="BJ96" s="308">
        <f t="shared" si="94"/>
        <v>0</v>
      </c>
      <c r="BK96" s="170">
        <f t="shared" si="95"/>
        <v>0</v>
      </c>
      <c r="BL96" s="324">
        <f t="shared" si="96"/>
        <v>0</v>
      </c>
      <c r="BM96" s="324">
        <f t="shared" si="97"/>
        <v>0</v>
      </c>
      <c r="BN96" s="324">
        <f t="shared" si="98"/>
        <v>0</v>
      </c>
      <c r="BO96" s="325">
        <f t="shared" si="99"/>
        <v>0</v>
      </c>
      <c r="BP96" s="326">
        <f t="shared" si="100"/>
        <v>0</v>
      </c>
      <c r="BQ96" s="324">
        <f t="shared" si="101"/>
        <v>0</v>
      </c>
      <c r="BR96" s="324">
        <f t="shared" si="102"/>
        <v>0</v>
      </c>
      <c r="BS96" s="325">
        <f t="shared" si="103"/>
        <v>0</v>
      </c>
      <c r="BT96" s="10"/>
      <c r="BU96" s="288">
        <f t="shared" si="104"/>
        <v>0</v>
      </c>
      <c r="BV96" s="289">
        <f t="shared" si="105"/>
        <v>0</v>
      </c>
      <c r="BW96" s="134">
        <f t="shared" si="106"/>
        <v>0</v>
      </c>
      <c r="BX96" s="294">
        <f t="shared" si="107"/>
        <v>0</v>
      </c>
      <c r="BY96" s="295">
        <f t="shared" si="108"/>
        <v>0</v>
      </c>
      <c r="BZ96" s="10"/>
      <c r="CA96" s="190">
        <f t="shared" si="109"/>
        <v>0</v>
      </c>
      <c r="CB96" s="191">
        <f t="shared" si="110"/>
        <v>0</v>
      </c>
      <c r="CC96" s="99">
        <f t="shared" si="111"/>
        <v>0</v>
      </c>
      <c r="CD96" s="299" t="str">
        <f t="shared" si="112"/>
        <v/>
      </c>
      <c r="CE96" s="305"/>
      <c r="CF96" s="10"/>
      <c r="CG96" s="10"/>
      <c r="CH96" s="10"/>
      <c r="CI96" s="10"/>
      <c r="CJ96" s="10"/>
      <c r="CK96" s="10"/>
      <c r="CL96" s="10"/>
      <c r="CM96" s="10"/>
      <c r="CN96" s="10"/>
      <c r="CO96" s="10"/>
      <c r="CP96" s="10"/>
      <c r="CQ96" s="10"/>
      <c r="CR96" s="10"/>
      <c r="CS96" s="10"/>
      <c r="CT96" s="10"/>
      <c r="CU96" s="10"/>
    </row>
    <row r="97" spans="1:99" ht="13.5" hidden="1" thickBot="1" x14ac:dyDescent="0.25">
      <c r="A97" s="11"/>
      <c r="B97" s="522" t="str">
        <f t="shared" si="41"/>
        <v>-</v>
      </c>
      <c r="C97" s="566">
        <v>65</v>
      </c>
      <c r="D97" s="616"/>
      <c r="E97" s="617"/>
      <c r="F97" s="515"/>
      <c r="G97" s="516"/>
      <c r="H97" s="581"/>
      <c r="I97" s="581"/>
      <c r="J97" s="569"/>
      <c r="K97" s="586"/>
      <c r="L97" s="587"/>
      <c r="M97" s="588"/>
      <c r="N97" s="589"/>
      <c r="O97" s="452" t="str">
        <f t="shared" si="113"/>
        <v/>
      </c>
      <c r="P97" s="453" t="str">
        <f t="shared" si="114"/>
        <v/>
      </c>
      <c r="Q97" s="499">
        <f t="shared" si="115"/>
        <v>0</v>
      </c>
      <c r="R97" s="500">
        <f t="shared" si="116"/>
        <v>0</v>
      </c>
      <c r="S97" s="454">
        <f t="shared" si="117"/>
        <v>0</v>
      </c>
      <c r="T97" s="524" t="str">
        <f t="shared" si="118"/>
        <v/>
      </c>
      <c r="U97" s="11"/>
      <c r="V97" s="12"/>
      <c r="W97" s="10"/>
      <c r="X97" s="10"/>
      <c r="Y97" s="10">
        <v>65</v>
      </c>
      <c r="Z97" s="71" t="str">
        <f t="shared" si="119"/>
        <v>-</v>
      </c>
      <c r="AA97" s="71">
        <f t="shared" si="120"/>
        <v>0</v>
      </c>
      <c r="AB97" s="10"/>
      <c r="AC97" s="134">
        <f t="shared" si="65"/>
        <v>0</v>
      </c>
      <c r="AD97" s="135">
        <f>IF(SUM(AC97:AC$112)=0,0,COUNTA(F97:G97)&gt;0)</f>
        <v>0</v>
      </c>
      <c r="AE97" s="134">
        <f t="shared" si="66"/>
        <v>0</v>
      </c>
      <c r="AF97" s="475">
        <f>IF(SUM(AC97:AC$112)=0,0,AND(AD97=FALSE,AE97=0,SUM(AE98:AE$112)&gt;0))</f>
        <v>0</v>
      </c>
      <c r="AG97" s="152">
        <f t="shared" si="67"/>
        <v>0</v>
      </c>
      <c r="AH97" s="135">
        <f t="shared" si="68"/>
        <v>0</v>
      </c>
      <c r="AI97" s="135">
        <f t="shared" si="69"/>
        <v>0</v>
      </c>
      <c r="AJ97" s="135">
        <f t="shared" si="70"/>
        <v>0</v>
      </c>
      <c r="AK97" s="183">
        <f t="shared" si="71"/>
        <v>0</v>
      </c>
      <c r="AL97" s="135">
        <f t="shared" si="72"/>
        <v>0</v>
      </c>
      <c r="AM97" s="151">
        <f t="shared" si="73"/>
        <v>0</v>
      </c>
      <c r="AN97" s="152">
        <f t="shared" si="74"/>
        <v>0</v>
      </c>
      <c r="AO97" s="135">
        <f t="shared" si="75"/>
        <v>0</v>
      </c>
      <c r="AP97" s="146">
        <f t="shared" si="76"/>
        <v>0</v>
      </c>
      <c r="AQ97" s="152">
        <f t="shared" si="77"/>
        <v>0</v>
      </c>
      <c r="AR97" s="151">
        <f t="shared" si="78"/>
        <v>0</v>
      </c>
      <c r="AS97" s="152">
        <f t="shared" si="79"/>
        <v>0</v>
      </c>
      <c r="AT97" s="135">
        <f t="shared" si="80"/>
        <v>0</v>
      </c>
      <c r="AU97" s="151">
        <f t="shared" si="81"/>
        <v>0</v>
      </c>
      <c r="AV97" s="152">
        <f t="shared" si="82"/>
        <v>0</v>
      </c>
      <c r="AW97" s="135">
        <f t="shared" si="83"/>
        <v>0</v>
      </c>
      <c r="AX97" s="134">
        <f t="shared" si="84"/>
        <v>0</v>
      </c>
      <c r="AY97" s="498" t="str">
        <f t="shared" si="54"/>
        <v/>
      </c>
      <c r="AZ97" s="152">
        <f t="shared" si="85"/>
        <v>0</v>
      </c>
      <c r="BA97" s="135">
        <f t="shared" si="86"/>
        <v>0</v>
      </c>
      <c r="BB97" s="151">
        <f t="shared" si="87"/>
        <v>0</v>
      </c>
      <c r="BC97" s="301" t="b">
        <f t="shared" si="88"/>
        <v>0</v>
      </c>
      <c r="BD97" s="109"/>
      <c r="BE97" s="313">
        <f t="shared" si="89"/>
        <v>0</v>
      </c>
      <c r="BF97" s="314">
        <f t="shared" si="90"/>
        <v>0</v>
      </c>
      <c r="BG97" s="314">
        <f t="shared" si="91"/>
        <v>0</v>
      </c>
      <c r="BH97" s="315">
        <f t="shared" si="92"/>
        <v>0</v>
      </c>
      <c r="BI97" s="308">
        <f t="shared" si="93"/>
        <v>0</v>
      </c>
      <c r="BJ97" s="308">
        <f t="shared" si="94"/>
        <v>0</v>
      </c>
      <c r="BK97" s="170">
        <f t="shared" si="95"/>
        <v>0</v>
      </c>
      <c r="BL97" s="324">
        <f t="shared" si="96"/>
        <v>0</v>
      </c>
      <c r="BM97" s="324">
        <f t="shared" si="97"/>
        <v>0</v>
      </c>
      <c r="BN97" s="324">
        <f t="shared" si="98"/>
        <v>0</v>
      </c>
      <c r="BO97" s="325">
        <f t="shared" si="99"/>
        <v>0</v>
      </c>
      <c r="BP97" s="326">
        <f t="shared" si="100"/>
        <v>0</v>
      </c>
      <c r="BQ97" s="324">
        <f t="shared" si="101"/>
        <v>0</v>
      </c>
      <c r="BR97" s="324">
        <f t="shared" si="102"/>
        <v>0</v>
      </c>
      <c r="BS97" s="325">
        <f t="shared" si="103"/>
        <v>0</v>
      </c>
      <c r="BT97" s="10"/>
      <c r="BU97" s="288">
        <f t="shared" si="104"/>
        <v>0</v>
      </c>
      <c r="BV97" s="289">
        <f t="shared" si="105"/>
        <v>0</v>
      </c>
      <c r="BW97" s="134">
        <f t="shared" si="106"/>
        <v>0</v>
      </c>
      <c r="BX97" s="294">
        <f t="shared" si="107"/>
        <v>0</v>
      </c>
      <c r="BY97" s="295">
        <f t="shared" si="108"/>
        <v>0</v>
      </c>
      <c r="BZ97" s="10"/>
      <c r="CA97" s="190">
        <f t="shared" si="109"/>
        <v>0</v>
      </c>
      <c r="CB97" s="191">
        <f t="shared" si="110"/>
        <v>0</v>
      </c>
      <c r="CC97" s="99">
        <f t="shared" si="111"/>
        <v>0</v>
      </c>
      <c r="CD97" s="299" t="str">
        <f t="shared" si="112"/>
        <v/>
      </c>
      <c r="CE97" s="305"/>
      <c r="CF97" s="10"/>
      <c r="CG97" s="10"/>
      <c r="CH97" s="10"/>
      <c r="CI97" s="10"/>
      <c r="CJ97" s="10"/>
      <c r="CK97" s="10"/>
      <c r="CL97" s="10"/>
      <c r="CM97" s="10"/>
      <c r="CN97" s="10"/>
      <c r="CO97" s="10"/>
      <c r="CP97" s="10"/>
      <c r="CQ97" s="10"/>
      <c r="CR97" s="10"/>
      <c r="CS97" s="10"/>
      <c r="CT97" s="10"/>
      <c r="CU97" s="10"/>
    </row>
    <row r="98" spans="1:99" ht="13.5" hidden="1" thickBot="1" x14ac:dyDescent="0.25">
      <c r="A98" s="11"/>
      <c r="B98" s="522" t="str">
        <f t="shared" si="41"/>
        <v>-</v>
      </c>
      <c r="C98" s="566">
        <v>66</v>
      </c>
      <c r="D98" s="616"/>
      <c r="E98" s="617"/>
      <c r="F98" s="515"/>
      <c r="G98" s="516"/>
      <c r="H98" s="581"/>
      <c r="I98" s="581"/>
      <c r="J98" s="569"/>
      <c r="K98" s="586"/>
      <c r="L98" s="587"/>
      <c r="M98" s="588"/>
      <c r="N98" s="589"/>
      <c r="O98" s="452" t="str">
        <f t="shared" si="113"/>
        <v/>
      </c>
      <c r="P98" s="453" t="str">
        <f t="shared" si="114"/>
        <v/>
      </c>
      <c r="Q98" s="499">
        <f t="shared" si="115"/>
        <v>0</v>
      </c>
      <c r="R98" s="500">
        <f t="shared" si="116"/>
        <v>0</v>
      </c>
      <c r="S98" s="454">
        <f t="shared" si="117"/>
        <v>0</v>
      </c>
      <c r="T98" s="524" t="str">
        <f t="shared" si="118"/>
        <v/>
      </c>
      <c r="U98" s="11"/>
      <c r="V98" s="12"/>
      <c r="W98" s="10"/>
      <c r="X98" s="10"/>
      <c r="Y98" s="10">
        <v>66</v>
      </c>
      <c r="Z98" s="71" t="str">
        <f t="shared" si="119"/>
        <v>-</v>
      </c>
      <c r="AA98" s="71">
        <f t="shared" si="120"/>
        <v>0</v>
      </c>
      <c r="AB98" s="10"/>
      <c r="AC98" s="134">
        <f t="shared" si="65"/>
        <v>0</v>
      </c>
      <c r="AD98" s="135">
        <f>IF(SUM(AC98:AC$112)=0,0,COUNTA(F98:G98)&gt;0)</f>
        <v>0</v>
      </c>
      <c r="AE98" s="134">
        <f t="shared" si="66"/>
        <v>0</v>
      </c>
      <c r="AF98" s="475">
        <f>IF(SUM(AC98:AC$112)=0,0,AND(AD98=FALSE,AE98=0,SUM(AE99:AE$112)&gt;0))</f>
        <v>0</v>
      </c>
      <c r="AG98" s="152">
        <f t="shared" si="67"/>
        <v>0</v>
      </c>
      <c r="AH98" s="135">
        <f t="shared" si="68"/>
        <v>0</v>
      </c>
      <c r="AI98" s="135">
        <f t="shared" si="69"/>
        <v>0</v>
      </c>
      <c r="AJ98" s="135">
        <f t="shared" si="70"/>
        <v>0</v>
      </c>
      <c r="AK98" s="183">
        <f t="shared" si="71"/>
        <v>0</v>
      </c>
      <c r="AL98" s="135">
        <f t="shared" si="72"/>
        <v>0</v>
      </c>
      <c r="AM98" s="151">
        <f t="shared" si="73"/>
        <v>0</v>
      </c>
      <c r="AN98" s="152">
        <f t="shared" si="74"/>
        <v>0</v>
      </c>
      <c r="AO98" s="135">
        <f t="shared" si="75"/>
        <v>0</v>
      </c>
      <c r="AP98" s="146">
        <f t="shared" si="76"/>
        <v>0</v>
      </c>
      <c r="AQ98" s="152">
        <f t="shared" si="77"/>
        <v>0</v>
      </c>
      <c r="AR98" s="151">
        <f t="shared" si="78"/>
        <v>0</v>
      </c>
      <c r="AS98" s="152">
        <f t="shared" si="79"/>
        <v>0</v>
      </c>
      <c r="AT98" s="135">
        <f t="shared" si="80"/>
        <v>0</v>
      </c>
      <c r="AU98" s="151">
        <f t="shared" si="81"/>
        <v>0</v>
      </c>
      <c r="AV98" s="152">
        <f t="shared" si="82"/>
        <v>0</v>
      </c>
      <c r="AW98" s="135">
        <f t="shared" si="83"/>
        <v>0</v>
      </c>
      <c r="AX98" s="134">
        <f t="shared" si="84"/>
        <v>0</v>
      </c>
      <c r="AY98" s="498" t="str">
        <f t="shared" ref="AY98:AY112" si="121">IF(AF98=TRUE,AF$32&amp;" (OK if intentional)","")&amp;IF(AI98=TRUE,"! "&amp;AI$32&amp;" (but "&amp;AE98&amp;" input"&amp;IF(AE98=1,") ","s) "),"")&amp;IF(AJ98=TRUE,"! "&amp;AJ$32&amp;" ","")&amp;IF(AK98=TRUE,"! "&amp;AK$32&amp;" ","")&amp;IF(AL98=TRUE,"! "&amp;AL$32&amp;" ","")&amp;IF(AM98=TRUE,"! "&amp;AM$32&amp;" ","")&amp;IF(AN98=TRUE,"! "&amp;AN$32&amp;" ","")&amp;IF(AO98=TRUE,"! "&amp;AO$32&amp;" ","")&amp;IF(AND(AQ98=TRUE,AR98=TRUE),"! Total System U-value &amp; Total System SHGC needed ","")&amp;IF(AND(AQ98=TRUE,AR98=FALSE),"! "&amp;AQ$32&amp;" ","")&amp;IF(AND(AQ98=FALSE,AR98=TRUE),"! "&amp;AR$32&amp;" ","")&amp;IF(AS98=TRUE,"! "&amp;AS$32&amp;" ","")&amp;IF(AT98=TRUE,"! "&amp;AT$32&amp;" ","")&amp;IF(AU98=TRUE,IF(M98="device","! H not needed","! "&amp;AU$32),"")</f>
        <v/>
      </c>
      <c r="AZ98" s="152">
        <f t="shared" si="85"/>
        <v>0</v>
      </c>
      <c r="BA98" s="135">
        <f t="shared" si="86"/>
        <v>0</v>
      </c>
      <c r="BB98" s="151">
        <f t="shared" si="87"/>
        <v>0</v>
      </c>
      <c r="BC98" s="301" t="b">
        <f t="shared" si="88"/>
        <v>0</v>
      </c>
      <c r="BD98" s="109"/>
      <c r="BE98" s="313">
        <f t="shared" si="89"/>
        <v>0</v>
      </c>
      <c r="BF98" s="314">
        <f t="shared" si="90"/>
        <v>0</v>
      </c>
      <c r="BG98" s="314">
        <f t="shared" si="91"/>
        <v>0</v>
      </c>
      <c r="BH98" s="315">
        <f t="shared" si="92"/>
        <v>0</v>
      </c>
      <c r="BI98" s="308">
        <f t="shared" si="93"/>
        <v>0</v>
      </c>
      <c r="BJ98" s="308">
        <f t="shared" si="94"/>
        <v>0</v>
      </c>
      <c r="BK98" s="170">
        <f t="shared" si="95"/>
        <v>0</v>
      </c>
      <c r="BL98" s="324">
        <f t="shared" si="96"/>
        <v>0</v>
      </c>
      <c r="BM98" s="324">
        <f t="shared" si="97"/>
        <v>0</v>
      </c>
      <c r="BN98" s="324">
        <f t="shared" si="98"/>
        <v>0</v>
      </c>
      <c r="BO98" s="325">
        <f t="shared" si="99"/>
        <v>0</v>
      </c>
      <c r="BP98" s="326">
        <f t="shared" si="100"/>
        <v>0</v>
      </c>
      <c r="BQ98" s="324">
        <f t="shared" si="101"/>
        <v>0</v>
      </c>
      <c r="BR98" s="324">
        <f t="shared" si="102"/>
        <v>0</v>
      </c>
      <c r="BS98" s="325">
        <f t="shared" si="103"/>
        <v>0</v>
      </c>
      <c r="BT98" s="10"/>
      <c r="BU98" s="288">
        <f t="shared" si="104"/>
        <v>0</v>
      </c>
      <c r="BV98" s="289">
        <f t="shared" si="105"/>
        <v>0</v>
      </c>
      <c r="BW98" s="134">
        <f t="shared" si="106"/>
        <v>0</v>
      </c>
      <c r="BX98" s="294">
        <f t="shared" si="107"/>
        <v>0</v>
      </c>
      <c r="BY98" s="295">
        <f t="shared" si="108"/>
        <v>0</v>
      </c>
      <c r="BZ98" s="10"/>
      <c r="CA98" s="190">
        <f t="shared" si="109"/>
        <v>0</v>
      </c>
      <c r="CB98" s="191">
        <f t="shared" si="110"/>
        <v>0</v>
      </c>
      <c r="CC98" s="99">
        <f t="shared" si="111"/>
        <v>0</v>
      </c>
      <c r="CD98" s="299" t="str">
        <f t="shared" si="112"/>
        <v/>
      </c>
      <c r="CE98" s="305"/>
      <c r="CF98" s="10"/>
      <c r="CG98" s="10"/>
      <c r="CH98" s="10"/>
      <c r="CI98" s="10"/>
      <c r="CJ98" s="10"/>
      <c r="CK98" s="10"/>
      <c r="CL98" s="10"/>
      <c r="CM98" s="10"/>
      <c r="CN98" s="10"/>
      <c r="CO98" s="10"/>
      <c r="CP98" s="10"/>
      <c r="CQ98" s="10"/>
      <c r="CR98" s="10"/>
      <c r="CS98" s="10"/>
      <c r="CT98" s="10"/>
      <c r="CU98" s="10"/>
    </row>
    <row r="99" spans="1:99" ht="13.5" hidden="1" thickBot="1" x14ac:dyDescent="0.25">
      <c r="A99" s="11"/>
      <c r="B99" s="522" t="str">
        <f t="shared" si="41"/>
        <v>-</v>
      </c>
      <c r="C99" s="566">
        <v>67</v>
      </c>
      <c r="D99" s="616"/>
      <c r="E99" s="617"/>
      <c r="F99" s="515"/>
      <c r="G99" s="516"/>
      <c r="H99" s="581"/>
      <c r="I99" s="581"/>
      <c r="J99" s="569"/>
      <c r="K99" s="586"/>
      <c r="L99" s="587"/>
      <c r="M99" s="588"/>
      <c r="N99" s="589"/>
      <c r="O99" s="452" t="str">
        <f t="shared" si="113"/>
        <v/>
      </c>
      <c r="P99" s="453" t="str">
        <f t="shared" si="114"/>
        <v/>
      </c>
      <c r="Q99" s="499">
        <f t="shared" si="115"/>
        <v>0</v>
      </c>
      <c r="R99" s="500">
        <f t="shared" si="116"/>
        <v>0</v>
      </c>
      <c r="S99" s="454">
        <f t="shared" si="117"/>
        <v>0</v>
      </c>
      <c r="T99" s="524" t="str">
        <f t="shared" si="118"/>
        <v/>
      </c>
      <c r="U99" s="11"/>
      <c r="V99" s="12"/>
      <c r="W99" s="10"/>
      <c r="X99" s="10"/>
      <c r="Y99" s="10">
        <v>67</v>
      </c>
      <c r="Z99" s="71" t="str">
        <f t="shared" si="119"/>
        <v>-</v>
      </c>
      <c r="AA99" s="71">
        <f t="shared" si="120"/>
        <v>0</v>
      </c>
      <c r="AB99" s="10"/>
      <c r="AC99" s="134">
        <f t="shared" si="65"/>
        <v>0</v>
      </c>
      <c r="AD99" s="135">
        <f>IF(SUM(AC99:AC$112)=0,0,COUNTA(F99:G99)&gt;0)</f>
        <v>0</v>
      </c>
      <c r="AE99" s="134">
        <f t="shared" si="66"/>
        <v>0</v>
      </c>
      <c r="AF99" s="475">
        <f>IF(SUM(AC99:AC$112)=0,0,AND(AD99=FALSE,AE99=0,SUM(AE100:AE$112)&gt;0))</f>
        <v>0</v>
      </c>
      <c r="AG99" s="152">
        <f t="shared" si="67"/>
        <v>0</v>
      </c>
      <c r="AH99" s="135">
        <f t="shared" si="68"/>
        <v>0</v>
      </c>
      <c r="AI99" s="135">
        <f t="shared" si="69"/>
        <v>0</v>
      </c>
      <c r="AJ99" s="135">
        <f t="shared" si="70"/>
        <v>0</v>
      </c>
      <c r="AK99" s="183">
        <f t="shared" si="71"/>
        <v>0</v>
      </c>
      <c r="AL99" s="135">
        <f t="shared" si="72"/>
        <v>0</v>
      </c>
      <c r="AM99" s="151">
        <f t="shared" si="73"/>
        <v>0</v>
      </c>
      <c r="AN99" s="152">
        <f t="shared" si="74"/>
        <v>0</v>
      </c>
      <c r="AO99" s="135">
        <f t="shared" si="75"/>
        <v>0</v>
      </c>
      <c r="AP99" s="146">
        <f t="shared" si="76"/>
        <v>0</v>
      </c>
      <c r="AQ99" s="152">
        <f t="shared" si="77"/>
        <v>0</v>
      </c>
      <c r="AR99" s="151">
        <f t="shared" si="78"/>
        <v>0</v>
      </c>
      <c r="AS99" s="152">
        <f t="shared" si="79"/>
        <v>0</v>
      </c>
      <c r="AT99" s="135">
        <f t="shared" si="80"/>
        <v>0</v>
      </c>
      <c r="AU99" s="151">
        <f t="shared" si="81"/>
        <v>0</v>
      </c>
      <c r="AV99" s="152">
        <f t="shared" si="82"/>
        <v>0</v>
      </c>
      <c r="AW99" s="135">
        <f t="shared" si="83"/>
        <v>0</v>
      </c>
      <c r="AX99" s="134">
        <f t="shared" si="84"/>
        <v>0</v>
      </c>
      <c r="AY99" s="498" t="str">
        <f t="shared" si="121"/>
        <v/>
      </c>
      <c r="AZ99" s="152">
        <f t="shared" si="85"/>
        <v>0</v>
      </c>
      <c r="BA99" s="135">
        <f t="shared" si="86"/>
        <v>0</v>
      </c>
      <c r="BB99" s="151">
        <f t="shared" si="87"/>
        <v>0</v>
      </c>
      <c r="BC99" s="301" t="b">
        <f t="shared" si="88"/>
        <v>0</v>
      </c>
      <c r="BD99" s="109"/>
      <c r="BE99" s="313">
        <f t="shared" si="89"/>
        <v>0</v>
      </c>
      <c r="BF99" s="314">
        <f t="shared" si="90"/>
        <v>0</v>
      </c>
      <c r="BG99" s="314">
        <f t="shared" si="91"/>
        <v>0</v>
      </c>
      <c r="BH99" s="315">
        <f t="shared" si="92"/>
        <v>0</v>
      </c>
      <c r="BI99" s="308">
        <f t="shared" si="93"/>
        <v>0</v>
      </c>
      <c r="BJ99" s="308">
        <f t="shared" si="94"/>
        <v>0</v>
      </c>
      <c r="BK99" s="170">
        <f t="shared" si="95"/>
        <v>0</v>
      </c>
      <c r="BL99" s="324">
        <f t="shared" si="96"/>
        <v>0</v>
      </c>
      <c r="BM99" s="324">
        <f t="shared" si="97"/>
        <v>0</v>
      </c>
      <c r="BN99" s="324">
        <f t="shared" si="98"/>
        <v>0</v>
      </c>
      <c r="BO99" s="325">
        <f t="shared" si="99"/>
        <v>0</v>
      </c>
      <c r="BP99" s="326">
        <f t="shared" si="100"/>
        <v>0</v>
      </c>
      <c r="BQ99" s="324">
        <f t="shared" si="101"/>
        <v>0</v>
      </c>
      <c r="BR99" s="324">
        <f t="shared" si="102"/>
        <v>0</v>
      </c>
      <c r="BS99" s="325">
        <f t="shared" si="103"/>
        <v>0</v>
      </c>
      <c r="BT99" s="10"/>
      <c r="BU99" s="288">
        <f t="shared" si="104"/>
        <v>0</v>
      </c>
      <c r="BV99" s="289">
        <f t="shared" si="105"/>
        <v>0</v>
      </c>
      <c r="BW99" s="134">
        <f t="shared" si="106"/>
        <v>0</v>
      </c>
      <c r="BX99" s="294">
        <f t="shared" si="107"/>
        <v>0</v>
      </c>
      <c r="BY99" s="295">
        <f t="shared" si="108"/>
        <v>0</v>
      </c>
      <c r="BZ99" s="10"/>
      <c r="CA99" s="190">
        <f t="shared" si="109"/>
        <v>0</v>
      </c>
      <c r="CB99" s="191">
        <f t="shared" si="110"/>
        <v>0</v>
      </c>
      <c r="CC99" s="99">
        <f t="shared" si="111"/>
        <v>0</v>
      </c>
      <c r="CD99" s="299" t="str">
        <f t="shared" si="112"/>
        <v/>
      </c>
      <c r="CE99" s="305"/>
      <c r="CF99" s="10"/>
      <c r="CG99" s="10"/>
      <c r="CH99" s="10"/>
      <c r="CI99" s="10"/>
      <c r="CJ99" s="10"/>
      <c r="CK99" s="10"/>
      <c r="CL99" s="10"/>
      <c r="CM99" s="10"/>
      <c r="CN99" s="10"/>
      <c r="CO99" s="10"/>
      <c r="CP99" s="10"/>
      <c r="CQ99" s="10"/>
      <c r="CR99" s="10"/>
      <c r="CS99" s="10"/>
      <c r="CT99" s="10"/>
      <c r="CU99" s="10"/>
    </row>
    <row r="100" spans="1:99" ht="13.5" hidden="1" thickBot="1" x14ac:dyDescent="0.25">
      <c r="A100" s="11"/>
      <c r="B100" s="522" t="str">
        <f t="shared" si="41"/>
        <v>-</v>
      </c>
      <c r="C100" s="566">
        <v>68</v>
      </c>
      <c r="D100" s="616"/>
      <c r="E100" s="617"/>
      <c r="F100" s="515"/>
      <c r="G100" s="516"/>
      <c r="H100" s="581"/>
      <c r="I100" s="581"/>
      <c r="J100" s="569"/>
      <c r="K100" s="586"/>
      <c r="L100" s="587"/>
      <c r="M100" s="588"/>
      <c r="N100" s="589"/>
      <c r="O100" s="452" t="str">
        <f t="shared" si="113"/>
        <v/>
      </c>
      <c r="P100" s="453" t="str">
        <f t="shared" si="114"/>
        <v/>
      </c>
      <c r="Q100" s="499">
        <f t="shared" si="115"/>
        <v>0</v>
      </c>
      <c r="R100" s="500">
        <f t="shared" si="116"/>
        <v>0</v>
      </c>
      <c r="S100" s="454">
        <f t="shared" si="117"/>
        <v>0</v>
      </c>
      <c r="T100" s="524" t="str">
        <f t="shared" si="118"/>
        <v/>
      </c>
      <c r="U100" s="11"/>
      <c r="V100" s="12"/>
      <c r="W100" s="10"/>
      <c r="X100" s="10"/>
      <c r="Y100" s="10">
        <v>68</v>
      </c>
      <c r="Z100" s="71" t="str">
        <f t="shared" si="119"/>
        <v>-</v>
      </c>
      <c r="AA100" s="71">
        <f t="shared" si="120"/>
        <v>0</v>
      </c>
      <c r="AB100" s="10"/>
      <c r="AC100" s="134">
        <f t="shared" si="65"/>
        <v>0</v>
      </c>
      <c r="AD100" s="135">
        <f>IF(SUM(AC100:AC$112)=0,0,COUNTA(F100:G100)&gt;0)</f>
        <v>0</v>
      </c>
      <c r="AE100" s="134">
        <f t="shared" si="66"/>
        <v>0</v>
      </c>
      <c r="AF100" s="475">
        <f>IF(SUM(AC100:AC$112)=0,0,AND(AD100=FALSE,AE100=0,SUM(AE101:AE$112)&gt;0))</f>
        <v>0</v>
      </c>
      <c r="AG100" s="152">
        <f t="shared" si="67"/>
        <v>0</v>
      </c>
      <c r="AH100" s="135">
        <f t="shared" si="68"/>
        <v>0</v>
      </c>
      <c r="AI100" s="135">
        <f t="shared" si="69"/>
        <v>0</v>
      </c>
      <c r="AJ100" s="135">
        <f t="shared" si="70"/>
        <v>0</v>
      </c>
      <c r="AK100" s="183">
        <f t="shared" si="71"/>
        <v>0</v>
      </c>
      <c r="AL100" s="135">
        <f t="shared" si="72"/>
        <v>0</v>
      </c>
      <c r="AM100" s="151">
        <f t="shared" si="73"/>
        <v>0</v>
      </c>
      <c r="AN100" s="152">
        <f t="shared" si="74"/>
        <v>0</v>
      </c>
      <c r="AO100" s="135">
        <f t="shared" si="75"/>
        <v>0</v>
      </c>
      <c r="AP100" s="146">
        <f t="shared" si="76"/>
        <v>0</v>
      </c>
      <c r="AQ100" s="152">
        <f t="shared" si="77"/>
        <v>0</v>
      </c>
      <c r="AR100" s="151">
        <f t="shared" si="78"/>
        <v>0</v>
      </c>
      <c r="AS100" s="152">
        <f t="shared" si="79"/>
        <v>0</v>
      </c>
      <c r="AT100" s="135">
        <f t="shared" si="80"/>
        <v>0</v>
      </c>
      <c r="AU100" s="151">
        <f t="shared" si="81"/>
        <v>0</v>
      </c>
      <c r="AV100" s="152">
        <f t="shared" si="82"/>
        <v>0</v>
      </c>
      <c r="AW100" s="135">
        <f t="shared" si="83"/>
        <v>0</v>
      </c>
      <c r="AX100" s="134">
        <f t="shared" si="84"/>
        <v>0</v>
      </c>
      <c r="AY100" s="498" t="str">
        <f t="shared" si="121"/>
        <v/>
      </c>
      <c r="AZ100" s="152">
        <f t="shared" si="85"/>
        <v>0</v>
      </c>
      <c r="BA100" s="135">
        <f t="shared" si="86"/>
        <v>0</v>
      </c>
      <c r="BB100" s="151">
        <f t="shared" si="87"/>
        <v>0</v>
      </c>
      <c r="BC100" s="301" t="b">
        <f t="shared" si="88"/>
        <v>0</v>
      </c>
      <c r="BD100" s="109"/>
      <c r="BE100" s="313">
        <f t="shared" si="89"/>
        <v>0</v>
      </c>
      <c r="BF100" s="314">
        <f t="shared" si="90"/>
        <v>0</v>
      </c>
      <c r="BG100" s="314">
        <f t="shared" si="91"/>
        <v>0</v>
      </c>
      <c r="BH100" s="315">
        <f t="shared" si="92"/>
        <v>0</v>
      </c>
      <c r="BI100" s="308">
        <f t="shared" si="93"/>
        <v>0</v>
      </c>
      <c r="BJ100" s="308">
        <f t="shared" si="94"/>
        <v>0</v>
      </c>
      <c r="BK100" s="170">
        <f t="shared" si="95"/>
        <v>0</v>
      </c>
      <c r="BL100" s="324">
        <f t="shared" si="96"/>
        <v>0</v>
      </c>
      <c r="BM100" s="324">
        <f t="shared" si="97"/>
        <v>0</v>
      </c>
      <c r="BN100" s="324">
        <f t="shared" si="98"/>
        <v>0</v>
      </c>
      <c r="BO100" s="325">
        <f t="shared" si="99"/>
        <v>0</v>
      </c>
      <c r="BP100" s="326">
        <f t="shared" si="100"/>
        <v>0</v>
      </c>
      <c r="BQ100" s="324">
        <f t="shared" si="101"/>
        <v>0</v>
      </c>
      <c r="BR100" s="324">
        <f t="shared" si="102"/>
        <v>0</v>
      </c>
      <c r="BS100" s="325">
        <f t="shared" si="103"/>
        <v>0</v>
      </c>
      <c r="BT100" s="10"/>
      <c r="BU100" s="288">
        <f t="shared" si="104"/>
        <v>0</v>
      </c>
      <c r="BV100" s="289">
        <f t="shared" si="105"/>
        <v>0</v>
      </c>
      <c r="BW100" s="134">
        <f t="shared" si="106"/>
        <v>0</v>
      </c>
      <c r="BX100" s="294">
        <f t="shared" si="107"/>
        <v>0</v>
      </c>
      <c r="BY100" s="295">
        <f t="shared" si="108"/>
        <v>0</v>
      </c>
      <c r="BZ100" s="10"/>
      <c r="CA100" s="190">
        <f t="shared" si="109"/>
        <v>0</v>
      </c>
      <c r="CB100" s="191">
        <f t="shared" si="110"/>
        <v>0</v>
      </c>
      <c r="CC100" s="99">
        <f t="shared" si="111"/>
        <v>0</v>
      </c>
      <c r="CD100" s="299" t="str">
        <f t="shared" si="112"/>
        <v/>
      </c>
      <c r="CE100" s="305"/>
      <c r="CF100" s="10"/>
      <c r="CG100" s="10"/>
      <c r="CH100" s="10"/>
      <c r="CI100" s="10"/>
      <c r="CJ100" s="10"/>
      <c r="CK100" s="10"/>
      <c r="CL100" s="10"/>
      <c r="CM100" s="10"/>
      <c r="CN100" s="10"/>
      <c r="CO100" s="10"/>
      <c r="CP100" s="10"/>
      <c r="CQ100" s="10"/>
      <c r="CR100" s="10"/>
      <c r="CS100" s="10"/>
      <c r="CT100" s="10"/>
      <c r="CU100" s="10"/>
    </row>
    <row r="101" spans="1:99" ht="13.5" hidden="1" thickBot="1" x14ac:dyDescent="0.25">
      <c r="A101" s="11"/>
      <c r="B101" s="522" t="str">
        <f t="shared" si="41"/>
        <v>-</v>
      </c>
      <c r="C101" s="566">
        <v>69</v>
      </c>
      <c r="D101" s="616"/>
      <c r="E101" s="617"/>
      <c r="F101" s="515"/>
      <c r="G101" s="516"/>
      <c r="H101" s="581"/>
      <c r="I101" s="581"/>
      <c r="J101" s="569"/>
      <c r="K101" s="586"/>
      <c r="L101" s="587"/>
      <c r="M101" s="588"/>
      <c r="N101" s="589"/>
      <c r="O101" s="452" t="str">
        <f t="shared" si="113"/>
        <v/>
      </c>
      <c r="P101" s="453" t="str">
        <f t="shared" si="114"/>
        <v/>
      </c>
      <c r="Q101" s="499">
        <f t="shared" si="115"/>
        <v>0</v>
      </c>
      <c r="R101" s="500">
        <f t="shared" si="116"/>
        <v>0</v>
      </c>
      <c r="S101" s="454">
        <f t="shared" si="117"/>
        <v>0</v>
      </c>
      <c r="T101" s="524" t="str">
        <f t="shared" si="118"/>
        <v/>
      </c>
      <c r="U101" s="11"/>
      <c r="V101" s="12"/>
      <c r="W101" s="10"/>
      <c r="X101" s="10"/>
      <c r="Y101" s="10">
        <v>69</v>
      </c>
      <c r="Z101" s="71" t="str">
        <f t="shared" si="119"/>
        <v>-</v>
      </c>
      <c r="AA101" s="71">
        <f t="shared" si="120"/>
        <v>0</v>
      </c>
      <c r="AB101" s="10"/>
      <c r="AC101" s="134">
        <f t="shared" si="65"/>
        <v>0</v>
      </c>
      <c r="AD101" s="135">
        <f>IF(SUM(AC101:AC$112)=0,0,COUNTA(F101:G101)&gt;0)</f>
        <v>0</v>
      </c>
      <c r="AE101" s="134">
        <f t="shared" si="66"/>
        <v>0</v>
      </c>
      <c r="AF101" s="475">
        <f>IF(SUM(AC101:AC$112)=0,0,AND(AD101=FALSE,AE101=0,SUM(AE102:AE$112)&gt;0))</f>
        <v>0</v>
      </c>
      <c r="AG101" s="152">
        <f t="shared" si="67"/>
        <v>0</v>
      </c>
      <c r="AH101" s="135">
        <f t="shared" si="68"/>
        <v>0</v>
      </c>
      <c r="AI101" s="135">
        <f t="shared" si="69"/>
        <v>0</v>
      </c>
      <c r="AJ101" s="135">
        <f t="shared" si="70"/>
        <v>0</v>
      </c>
      <c r="AK101" s="183">
        <f t="shared" si="71"/>
        <v>0</v>
      </c>
      <c r="AL101" s="135">
        <f t="shared" si="72"/>
        <v>0</v>
      </c>
      <c r="AM101" s="151">
        <f t="shared" si="73"/>
        <v>0</v>
      </c>
      <c r="AN101" s="152">
        <f t="shared" si="74"/>
        <v>0</v>
      </c>
      <c r="AO101" s="135">
        <f t="shared" si="75"/>
        <v>0</v>
      </c>
      <c r="AP101" s="146">
        <f t="shared" si="76"/>
        <v>0</v>
      </c>
      <c r="AQ101" s="152">
        <f t="shared" si="77"/>
        <v>0</v>
      </c>
      <c r="AR101" s="151">
        <f t="shared" si="78"/>
        <v>0</v>
      </c>
      <c r="AS101" s="152">
        <f t="shared" si="79"/>
        <v>0</v>
      </c>
      <c r="AT101" s="135">
        <f t="shared" si="80"/>
        <v>0</v>
      </c>
      <c r="AU101" s="151">
        <f t="shared" si="81"/>
        <v>0</v>
      </c>
      <c r="AV101" s="152">
        <f t="shared" si="82"/>
        <v>0</v>
      </c>
      <c r="AW101" s="135">
        <f t="shared" si="83"/>
        <v>0</v>
      </c>
      <c r="AX101" s="134">
        <f t="shared" si="84"/>
        <v>0</v>
      </c>
      <c r="AY101" s="498" t="str">
        <f t="shared" si="121"/>
        <v/>
      </c>
      <c r="AZ101" s="152">
        <f t="shared" si="85"/>
        <v>0</v>
      </c>
      <c r="BA101" s="135">
        <f t="shared" si="86"/>
        <v>0</v>
      </c>
      <c r="BB101" s="151">
        <f t="shared" si="87"/>
        <v>0</v>
      </c>
      <c r="BC101" s="301" t="b">
        <f t="shared" si="88"/>
        <v>0</v>
      </c>
      <c r="BD101" s="109"/>
      <c r="BE101" s="313">
        <f t="shared" si="89"/>
        <v>0</v>
      </c>
      <c r="BF101" s="314">
        <f t="shared" si="90"/>
        <v>0</v>
      </c>
      <c r="BG101" s="314">
        <f t="shared" si="91"/>
        <v>0</v>
      </c>
      <c r="BH101" s="315">
        <f t="shared" si="92"/>
        <v>0</v>
      </c>
      <c r="BI101" s="308">
        <f t="shared" si="93"/>
        <v>0</v>
      </c>
      <c r="BJ101" s="308">
        <f t="shared" si="94"/>
        <v>0</v>
      </c>
      <c r="BK101" s="170">
        <f t="shared" si="95"/>
        <v>0</v>
      </c>
      <c r="BL101" s="324">
        <f t="shared" si="96"/>
        <v>0</v>
      </c>
      <c r="BM101" s="324">
        <f t="shared" si="97"/>
        <v>0</v>
      </c>
      <c r="BN101" s="324">
        <f t="shared" si="98"/>
        <v>0</v>
      </c>
      <c r="BO101" s="325">
        <f t="shared" si="99"/>
        <v>0</v>
      </c>
      <c r="BP101" s="326">
        <f t="shared" si="100"/>
        <v>0</v>
      </c>
      <c r="BQ101" s="324">
        <f t="shared" si="101"/>
        <v>0</v>
      </c>
      <c r="BR101" s="324">
        <f t="shared" si="102"/>
        <v>0</v>
      </c>
      <c r="BS101" s="325">
        <f t="shared" si="103"/>
        <v>0</v>
      </c>
      <c r="BT101" s="10"/>
      <c r="BU101" s="288">
        <f t="shared" si="104"/>
        <v>0</v>
      </c>
      <c r="BV101" s="289">
        <f t="shared" si="105"/>
        <v>0</v>
      </c>
      <c r="BW101" s="134">
        <f t="shared" si="106"/>
        <v>0</v>
      </c>
      <c r="BX101" s="294">
        <f t="shared" si="107"/>
        <v>0</v>
      </c>
      <c r="BY101" s="295">
        <f t="shared" si="108"/>
        <v>0</v>
      </c>
      <c r="BZ101" s="10"/>
      <c r="CA101" s="190">
        <f t="shared" si="109"/>
        <v>0</v>
      </c>
      <c r="CB101" s="191">
        <f t="shared" si="110"/>
        <v>0</v>
      </c>
      <c r="CC101" s="99">
        <f t="shared" si="111"/>
        <v>0</v>
      </c>
      <c r="CD101" s="299" t="str">
        <f t="shared" si="112"/>
        <v/>
      </c>
      <c r="CE101" s="305"/>
      <c r="CF101" s="10"/>
      <c r="CG101" s="10"/>
      <c r="CH101" s="10"/>
      <c r="CI101" s="10"/>
      <c r="CJ101" s="10"/>
      <c r="CK101" s="10"/>
      <c r="CL101" s="10"/>
      <c r="CM101" s="10"/>
      <c r="CN101" s="10"/>
      <c r="CO101" s="10"/>
      <c r="CP101" s="10"/>
      <c r="CQ101" s="10"/>
      <c r="CR101" s="10"/>
      <c r="CS101" s="10"/>
      <c r="CT101" s="10"/>
      <c r="CU101" s="10"/>
    </row>
    <row r="102" spans="1:99" ht="13.5" hidden="1" thickBot="1" x14ac:dyDescent="0.25">
      <c r="A102" s="11"/>
      <c r="B102" s="522" t="str">
        <f t="shared" si="41"/>
        <v>-</v>
      </c>
      <c r="C102" s="566">
        <v>70</v>
      </c>
      <c r="D102" s="616"/>
      <c r="E102" s="617"/>
      <c r="F102" s="515"/>
      <c r="G102" s="516"/>
      <c r="H102" s="581"/>
      <c r="I102" s="581"/>
      <c r="J102" s="569"/>
      <c r="K102" s="586"/>
      <c r="L102" s="587"/>
      <c r="M102" s="588"/>
      <c r="N102" s="589"/>
      <c r="O102" s="452" t="str">
        <f t="shared" si="113"/>
        <v/>
      </c>
      <c r="P102" s="453" t="str">
        <f t="shared" si="114"/>
        <v/>
      </c>
      <c r="Q102" s="499">
        <f t="shared" si="115"/>
        <v>0</v>
      </c>
      <c r="R102" s="500">
        <f t="shared" si="116"/>
        <v>0</v>
      </c>
      <c r="S102" s="454">
        <f t="shared" si="117"/>
        <v>0</v>
      </c>
      <c r="T102" s="524" t="str">
        <f t="shared" si="118"/>
        <v/>
      </c>
      <c r="U102" s="11"/>
      <c r="V102" s="12"/>
      <c r="W102" s="10"/>
      <c r="X102" s="10"/>
      <c r="Y102" s="10">
        <v>70</v>
      </c>
      <c r="Z102" s="71" t="str">
        <f t="shared" si="119"/>
        <v>-</v>
      </c>
      <c r="AA102" s="71">
        <f t="shared" si="120"/>
        <v>0</v>
      </c>
      <c r="AB102" s="10"/>
      <c r="AC102" s="134">
        <f t="shared" si="65"/>
        <v>0</v>
      </c>
      <c r="AD102" s="135">
        <f>IF(SUM(AC102:AC$112)=0,0,COUNTA(F102:G102)&gt;0)</f>
        <v>0</v>
      </c>
      <c r="AE102" s="134">
        <f t="shared" si="66"/>
        <v>0</v>
      </c>
      <c r="AF102" s="475">
        <f>IF(SUM(AC102:AC$112)=0,0,AND(AD102=FALSE,AE102=0,SUM(AE103:AE$112)&gt;0))</f>
        <v>0</v>
      </c>
      <c r="AG102" s="152">
        <f t="shared" si="67"/>
        <v>0</v>
      </c>
      <c r="AH102" s="135">
        <f t="shared" si="68"/>
        <v>0</v>
      </c>
      <c r="AI102" s="135">
        <f t="shared" si="69"/>
        <v>0</v>
      </c>
      <c r="AJ102" s="135">
        <f t="shared" si="70"/>
        <v>0</v>
      </c>
      <c r="AK102" s="183">
        <f t="shared" si="71"/>
        <v>0</v>
      </c>
      <c r="AL102" s="135">
        <f t="shared" si="72"/>
        <v>0</v>
      </c>
      <c r="AM102" s="151">
        <f t="shared" si="73"/>
        <v>0</v>
      </c>
      <c r="AN102" s="152">
        <f t="shared" si="74"/>
        <v>0</v>
      </c>
      <c r="AO102" s="135">
        <f t="shared" si="75"/>
        <v>0</v>
      </c>
      <c r="AP102" s="146">
        <f t="shared" si="76"/>
        <v>0</v>
      </c>
      <c r="AQ102" s="152">
        <f t="shared" si="77"/>
        <v>0</v>
      </c>
      <c r="AR102" s="151">
        <f t="shared" si="78"/>
        <v>0</v>
      </c>
      <c r="AS102" s="152">
        <f t="shared" si="79"/>
        <v>0</v>
      </c>
      <c r="AT102" s="135">
        <f t="shared" si="80"/>
        <v>0</v>
      </c>
      <c r="AU102" s="151">
        <f t="shared" si="81"/>
        <v>0</v>
      </c>
      <c r="AV102" s="152">
        <f t="shared" si="82"/>
        <v>0</v>
      </c>
      <c r="AW102" s="135">
        <f t="shared" si="83"/>
        <v>0</v>
      </c>
      <c r="AX102" s="134">
        <f t="shared" si="84"/>
        <v>0</v>
      </c>
      <c r="AY102" s="498" t="str">
        <f t="shared" si="121"/>
        <v/>
      </c>
      <c r="AZ102" s="152">
        <f t="shared" si="85"/>
        <v>0</v>
      </c>
      <c r="BA102" s="135">
        <f t="shared" si="86"/>
        <v>0</v>
      </c>
      <c r="BB102" s="151">
        <f t="shared" si="87"/>
        <v>0</v>
      </c>
      <c r="BC102" s="301" t="b">
        <f t="shared" si="88"/>
        <v>0</v>
      </c>
      <c r="BD102" s="109"/>
      <c r="BE102" s="313">
        <f t="shared" si="89"/>
        <v>0</v>
      </c>
      <c r="BF102" s="314">
        <f t="shared" si="90"/>
        <v>0</v>
      </c>
      <c r="BG102" s="314">
        <f t="shared" si="91"/>
        <v>0</v>
      </c>
      <c r="BH102" s="315">
        <f t="shared" si="92"/>
        <v>0</v>
      </c>
      <c r="BI102" s="308">
        <f t="shared" si="93"/>
        <v>0</v>
      </c>
      <c r="BJ102" s="308">
        <f t="shared" si="94"/>
        <v>0</v>
      </c>
      <c r="BK102" s="170">
        <f t="shared" si="95"/>
        <v>0</v>
      </c>
      <c r="BL102" s="324">
        <f t="shared" si="96"/>
        <v>0</v>
      </c>
      <c r="BM102" s="324">
        <f t="shared" si="97"/>
        <v>0</v>
      </c>
      <c r="BN102" s="324">
        <f t="shared" si="98"/>
        <v>0</v>
      </c>
      <c r="BO102" s="325">
        <f t="shared" si="99"/>
        <v>0</v>
      </c>
      <c r="BP102" s="326">
        <f t="shared" si="100"/>
        <v>0</v>
      </c>
      <c r="BQ102" s="324">
        <f t="shared" si="101"/>
        <v>0</v>
      </c>
      <c r="BR102" s="324">
        <f t="shared" si="102"/>
        <v>0</v>
      </c>
      <c r="BS102" s="325">
        <f t="shared" si="103"/>
        <v>0</v>
      </c>
      <c r="BT102" s="10"/>
      <c r="BU102" s="288">
        <f t="shared" si="104"/>
        <v>0</v>
      </c>
      <c r="BV102" s="289">
        <f t="shared" si="105"/>
        <v>0</v>
      </c>
      <c r="BW102" s="134">
        <f t="shared" si="106"/>
        <v>0</v>
      </c>
      <c r="BX102" s="294">
        <f t="shared" si="107"/>
        <v>0</v>
      </c>
      <c r="BY102" s="295">
        <f t="shared" si="108"/>
        <v>0</v>
      </c>
      <c r="BZ102" s="10"/>
      <c r="CA102" s="190">
        <f t="shared" si="109"/>
        <v>0</v>
      </c>
      <c r="CB102" s="191">
        <f t="shared" si="110"/>
        <v>0</v>
      </c>
      <c r="CC102" s="99">
        <f t="shared" si="111"/>
        <v>0</v>
      </c>
      <c r="CD102" s="299" t="str">
        <f t="shared" si="112"/>
        <v/>
      </c>
      <c r="CE102" s="305"/>
      <c r="CF102" s="10"/>
      <c r="CG102" s="10"/>
      <c r="CH102" s="10"/>
      <c r="CI102" s="10"/>
      <c r="CJ102" s="10"/>
      <c r="CK102" s="10"/>
      <c r="CL102" s="10"/>
      <c r="CM102" s="10"/>
      <c r="CN102" s="10"/>
      <c r="CO102" s="10"/>
      <c r="CP102" s="10"/>
      <c r="CQ102" s="10"/>
      <c r="CR102" s="10"/>
      <c r="CS102" s="10"/>
      <c r="CT102" s="10"/>
      <c r="CU102" s="10"/>
    </row>
    <row r="103" spans="1:99" ht="13.5" hidden="1" thickBot="1" x14ac:dyDescent="0.25">
      <c r="A103" s="11"/>
      <c r="B103" s="522" t="str">
        <f t="shared" si="41"/>
        <v>-</v>
      </c>
      <c r="C103" s="566">
        <v>71</v>
      </c>
      <c r="D103" s="616"/>
      <c r="E103" s="617"/>
      <c r="F103" s="515"/>
      <c r="G103" s="516"/>
      <c r="H103" s="581"/>
      <c r="I103" s="581"/>
      <c r="J103" s="569"/>
      <c r="K103" s="586"/>
      <c r="L103" s="587"/>
      <c r="M103" s="588"/>
      <c r="N103" s="589"/>
      <c r="O103" s="452" t="str">
        <f t="shared" si="113"/>
        <v/>
      </c>
      <c r="P103" s="453" t="str">
        <f t="shared" si="114"/>
        <v/>
      </c>
      <c r="Q103" s="499">
        <f t="shared" si="115"/>
        <v>0</v>
      </c>
      <c r="R103" s="500">
        <f t="shared" si="116"/>
        <v>0</v>
      </c>
      <c r="S103" s="454">
        <f t="shared" si="117"/>
        <v>0</v>
      </c>
      <c r="T103" s="524" t="str">
        <f t="shared" si="118"/>
        <v/>
      </c>
      <c r="U103" s="11"/>
      <c r="V103" s="12"/>
      <c r="W103" s="10"/>
      <c r="X103" s="10"/>
      <c r="Y103" s="10">
        <v>71</v>
      </c>
      <c r="Z103" s="71" t="str">
        <f t="shared" si="119"/>
        <v>-</v>
      </c>
      <c r="AA103" s="71">
        <f t="shared" si="120"/>
        <v>0</v>
      </c>
      <c r="AB103" s="10"/>
      <c r="AC103" s="134">
        <f t="shared" si="65"/>
        <v>0</v>
      </c>
      <c r="AD103" s="135">
        <f>IF(SUM(AC103:AC$112)=0,0,COUNTA(F103:G103)&gt;0)</f>
        <v>0</v>
      </c>
      <c r="AE103" s="134">
        <f t="shared" si="66"/>
        <v>0</v>
      </c>
      <c r="AF103" s="475">
        <f>IF(SUM(AC103:AC$112)=0,0,AND(AD103=FALSE,AE103=0,SUM(AE104:AE$112)&gt;0))</f>
        <v>0</v>
      </c>
      <c r="AG103" s="152">
        <f t="shared" si="67"/>
        <v>0</v>
      </c>
      <c r="AH103" s="135">
        <f t="shared" si="68"/>
        <v>0</v>
      </c>
      <c r="AI103" s="135">
        <f t="shared" si="69"/>
        <v>0</v>
      </c>
      <c r="AJ103" s="135">
        <f t="shared" si="70"/>
        <v>0</v>
      </c>
      <c r="AK103" s="183">
        <f t="shared" si="71"/>
        <v>0</v>
      </c>
      <c r="AL103" s="135">
        <f t="shared" si="72"/>
        <v>0</v>
      </c>
      <c r="AM103" s="151">
        <f t="shared" si="73"/>
        <v>0</v>
      </c>
      <c r="AN103" s="152">
        <f t="shared" si="74"/>
        <v>0</v>
      </c>
      <c r="AO103" s="135">
        <f t="shared" si="75"/>
        <v>0</v>
      </c>
      <c r="AP103" s="146">
        <f t="shared" si="76"/>
        <v>0</v>
      </c>
      <c r="AQ103" s="152">
        <f t="shared" si="77"/>
        <v>0</v>
      </c>
      <c r="AR103" s="151">
        <f t="shared" si="78"/>
        <v>0</v>
      </c>
      <c r="AS103" s="152">
        <f t="shared" si="79"/>
        <v>0</v>
      </c>
      <c r="AT103" s="135">
        <f t="shared" si="80"/>
        <v>0</v>
      </c>
      <c r="AU103" s="151">
        <f t="shared" si="81"/>
        <v>0</v>
      </c>
      <c r="AV103" s="152">
        <f t="shared" si="82"/>
        <v>0</v>
      </c>
      <c r="AW103" s="135">
        <f t="shared" si="83"/>
        <v>0</v>
      </c>
      <c r="AX103" s="134">
        <f t="shared" si="84"/>
        <v>0</v>
      </c>
      <c r="AY103" s="498" t="str">
        <f t="shared" si="121"/>
        <v/>
      </c>
      <c r="AZ103" s="152">
        <f t="shared" si="85"/>
        <v>0</v>
      </c>
      <c r="BA103" s="135">
        <f t="shared" si="86"/>
        <v>0</v>
      </c>
      <c r="BB103" s="151">
        <f t="shared" si="87"/>
        <v>0</v>
      </c>
      <c r="BC103" s="301" t="b">
        <f t="shared" si="88"/>
        <v>0</v>
      </c>
      <c r="BD103" s="109"/>
      <c r="BE103" s="313">
        <f t="shared" si="89"/>
        <v>0</v>
      </c>
      <c r="BF103" s="314">
        <f t="shared" si="90"/>
        <v>0</v>
      </c>
      <c r="BG103" s="314">
        <f t="shared" si="91"/>
        <v>0</v>
      </c>
      <c r="BH103" s="315">
        <f t="shared" si="92"/>
        <v>0</v>
      </c>
      <c r="BI103" s="308">
        <f t="shared" si="93"/>
        <v>0</v>
      </c>
      <c r="BJ103" s="308">
        <f t="shared" si="94"/>
        <v>0</v>
      </c>
      <c r="BK103" s="170">
        <f t="shared" si="95"/>
        <v>0</v>
      </c>
      <c r="BL103" s="324">
        <f t="shared" si="96"/>
        <v>0</v>
      </c>
      <c r="BM103" s="324">
        <f t="shared" si="97"/>
        <v>0</v>
      </c>
      <c r="BN103" s="324">
        <f t="shared" si="98"/>
        <v>0</v>
      </c>
      <c r="BO103" s="325">
        <f t="shared" si="99"/>
        <v>0</v>
      </c>
      <c r="BP103" s="326">
        <f t="shared" si="100"/>
        <v>0</v>
      </c>
      <c r="BQ103" s="324">
        <f t="shared" si="101"/>
        <v>0</v>
      </c>
      <c r="BR103" s="324">
        <f t="shared" si="102"/>
        <v>0</v>
      </c>
      <c r="BS103" s="325">
        <f t="shared" si="103"/>
        <v>0</v>
      </c>
      <c r="BT103" s="10"/>
      <c r="BU103" s="288">
        <f t="shared" si="104"/>
        <v>0</v>
      </c>
      <c r="BV103" s="289">
        <f t="shared" si="105"/>
        <v>0</v>
      </c>
      <c r="BW103" s="134">
        <f t="shared" si="106"/>
        <v>0</v>
      </c>
      <c r="BX103" s="294">
        <f t="shared" si="107"/>
        <v>0</v>
      </c>
      <c r="BY103" s="295">
        <f t="shared" si="108"/>
        <v>0</v>
      </c>
      <c r="BZ103" s="10"/>
      <c r="CA103" s="190">
        <f t="shared" si="109"/>
        <v>0</v>
      </c>
      <c r="CB103" s="191">
        <f t="shared" si="110"/>
        <v>0</v>
      </c>
      <c r="CC103" s="99">
        <f t="shared" si="111"/>
        <v>0</v>
      </c>
      <c r="CD103" s="299" t="str">
        <f t="shared" si="112"/>
        <v/>
      </c>
      <c r="CE103" s="305"/>
      <c r="CF103" s="10"/>
      <c r="CG103" s="10"/>
      <c r="CH103" s="10"/>
      <c r="CI103" s="10"/>
      <c r="CJ103" s="10"/>
      <c r="CK103" s="10"/>
      <c r="CL103" s="10"/>
      <c r="CM103" s="10"/>
      <c r="CN103" s="10"/>
      <c r="CO103" s="10"/>
      <c r="CP103" s="10"/>
      <c r="CQ103" s="10"/>
      <c r="CR103" s="10"/>
      <c r="CS103" s="10"/>
      <c r="CT103" s="10"/>
      <c r="CU103" s="10"/>
    </row>
    <row r="104" spans="1:99" ht="13.5" hidden="1" thickBot="1" x14ac:dyDescent="0.25">
      <c r="A104" s="11"/>
      <c r="B104" s="522" t="str">
        <f t="shared" si="41"/>
        <v>-</v>
      </c>
      <c r="C104" s="566">
        <v>72</v>
      </c>
      <c r="D104" s="616"/>
      <c r="E104" s="617"/>
      <c r="F104" s="515"/>
      <c r="G104" s="516"/>
      <c r="H104" s="581"/>
      <c r="I104" s="581"/>
      <c r="J104" s="569"/>
      <c r="K104" s="586"/>
      <c r="L104" s="587"/>
      <c r="M104" s="588"/>
      <c r="N104" s="589"/>
      <c r="O104" s="452" t="str">
        <f t="shared" si="113"/>
        <v/>
      </c>
      <c r="P104" s="453" t="str">
        <f t="shared" si="114"/>
        <v/>
      </c>
      <c r="Q104" s="499">
        <f t="shared" si="115"/>
        <v>0</v>
      </c>
      <c r="R104" s="500">
        <f t="shared" si="116"/>
        <v>0</v>
      </c>
      <c r="S104" s="454">
        <f t="shared" si="117"/>
        <v>0</v>
      </c>
      <c r="T104" s="524" t="str">
        <f t="shared" si="118"/>
        <v/>
      </c>
      <c r="U104" s="11"/>
      <c r="V104" s="12"/>
      <c r="W104" s="10"/>
      <c r="X104" s="10"/>
      <c r="Y104" s="10">
        <v>72</v>
      </c>
      <c r="Z104" s="71" t="str">
        <f t="shared" si="119"/>
        <v>-</v>
      </c>
      <c r="AA104" s="71">
        <f t="shared" si="120"/>
        <v>0</v>
      </c>
      <c r="AB104" s="10"/>
      <c r="AC104" s="134">
        <f t="shared" si="65"/>
        <v>0</v>
      </c>
      <c r="AD104" s="135">
        <f>IF(SUM(AC104:AC$112)=0,0,COUNTA(F104:G104)&gt;0)</f>
        <v>0</v>
      </c>
      <c r="AE104" s="134">
        <f t="shared" si="66"/>
        <v>0</v>
      </c>
      <c r="AF104" s="475">
        <f>IF(SUM(AC104:AC$112)=0,0,AND(AD104=FALSE,AE104=0,SUM(AE105:AE$112)&gt;0))</f>
        <v>0</v>
      </c>
      <c r="AG104" s="152">
        <f t="shared" si="67"/>
        <v>0</v>
      </c>
      <c r="AH104" s="135">
        <f t="shared" si="68"/>
        <v>0</v>
      </c>
      <c r="AI104" s="135">
        <f t="shared" si="69"/>
        <v>0</v>
      </c>
      <c r="AJ104" s="135">
        <f t="shared" si="70"/>
        <v>0</v>
      </c>
      <c r="AK104" s="183">
        <f t="shared" si="71"/>
        <v>0</v>
      </c>
      <c r="AL104" s="135">
        <f t="shared" si="72"/>
        <v>0</v>
      </c>
      <c r="AM104" s="151">
        <f t="shared" si="73"/>
        <v>0</v>
      </c>
      <c r="AN104" s="152">
        <f t="shared" si="74"/>
        <v>0</v>
      </c>
      <c r="AO104" s="135">
        <f t="shared" si="75"/>
        <v>0</v>
      </c>
      <c r="AP104" s="146">
        <f t="shared" si="76"/>
        <v>0</v>
      </c>
      <c r="AQ104" s="152">
        <f t="shared" si="77"/>
        <v>0</v>
      </c>
      <c r="AR104" s="151">
        <f t="shared" si="78"/>
        <v>0</v>
      </c>
      <c r="AS104" s="152">
        <f t="shared" si="79"/>
        <v>0</v>
      </c>
      <c r="AT104" s="135">
        <f t="shared" si="80"/>
        <v>0</v>
      </c>
      <c r="AU104" s="151">
        <f t="shared" si="81"/>
        <v>0</v>
      </c>
      <c r="AV104" s="152">
        <f t="shared" si="82"/>
        <v>0</v>
      </c>
      <c r="AW104" s="135">
        <f t="shared" si="83"/>
        <v>0</v>
      </c>
      <c r="AX104" s="134">
        <f t="shared" si="84"/>
        <v>0</v>
      </c>
      <c r="AY104" s="498" t="str">
        <f t="shared" si="121"/>
        <v/>
      </c>
      <c r="AZ104" s="152">
        <f t="shared" si="85"/>
        <v>0</v>
      </c>
      <c r="BA104" s="135">
        <f t="shared" si="86"/>
        <v>0</v>
      </c>
      <c r="BB104" s="151">
        <f t="shared" si="87"/>
        <v>0</v>
      </c>
      <c r="BC104" s="301" t="b">
        <f t="shared" si="88"/>
        <v>0</v>
      </c>
      <c r="BD104" s="109"/>
      <c r="BE104" s="313">
        <f t="shared" si="89"/>
        <v>0</v>
      </c>
      <c r="BF104" s="314">
        <f t="shared" si="90"/>
        <v>0</v>
      </c>
      <c r="BG104" s="314">
        <f t="shared" si="91"/>
        <v>0</v>
      </c>
      <c r="BH104" s="315">
        <f t="shared" si="92"/>
        <v>0</v>
      </c>
      <c r="BI104" s="308">
        <f t="shared" si="93"/>
        <v>0</v>
      </c>
      <c r="BJ104" s="308">
        <f t="shared" si="94"/>
        <v>0</v>
      </c>
      <c r="BK104" s="170">
        <f t="shared" si="95"/>
        <v>0</v>
      </c>
      <c r="BL104" s="324">
        <f t="shared" si="96"/>
        <v>0</v>
      </c>
      <c r="BM104" s="324">
        <f t="shared" si="97"/>
        <v>0</v>
      </c>
      <c r="BN104" s="324">
        <f t="shared" si="98"/>
        <v>0</v>
      </c>
      <c r="BO104" s="325">
        <f t="shared" si="99"/>
        <v>0</v>
      </c>
      <c r="BP104" s="326">
        <f t="shared" si="100"/>
        <v>0</v>
      </c>
      <c r="BQ104" s="324">
        <f t="shared" si="101"/>
        <v>0</v>
      </c>
      <c r="BR104" s="324">
        <f t="shared" si="102"/>
        <v>0</v>
      </c>
      <c r="BS104" s="325">
        <f t="shared" si="103"/>
        <v>0</v>
      </c>
      <c r="BT104" s="10"/>
      <c r="BU104" s="288">
        <f t="shared" si="104"/>
        <v>0</v>
      </c>
      <c r="BV104" s="289">
        <f t="shared" si="105"/>
        <v>0</v>
      </c>
      <c r="BW104" s="134">
        <f t="shared" si="106"/>
        <v>0</v>
      </c>
      <c r="BX104" s="294">
        <f t="shared" si="107"/>
        <v>0</v>
      </c>
      <c r="BY104" s="295">
        <f t="shared" si="108"/>
        <v>0</v>
      </c>
      <c r="BZ104" s="10"/>
      <c r="CA104" s="190">
        <f t="shared" si="109"/>
        <v>0</v>
      </c>
      <c r="CB104" s="191">
        <f t="shared" si="110"/>
        <v>0</v>
      </c>
      <c r="CC104" s="99">
        <f t="shared" si="111"/>
        <v>0</v>
      </c>
      <c r="CD104" s="299" t="str">
        <f t="shared" si="112"/>
        <v/>
      </c>
      <c r="CE104" s="305"/>
      <c r="CF104" s="10"/>
      <c r="CG104" s="10"/>
      <c r="CH104" s="10"/>
      <c r="CI104" s="10"/>
      <c r="CJ104" s="10"/>
      <c r="CK104" s="10"/>
      <c r="CL104" s="10"/>
      <c r="CM104" s="10"/>
      <c r="CN104" s="10"/>
      <c r="CO104" s="10"/>
      <c r="CP104" s="10"/>
      <c r="CQ104" s="10"/>
      <c r="CR104" s="10"/>
      <c r="CS104" s="10"/>
      <c r="CT104" s="10"/>
      <c r="CU104" s="10"/>
    </row>
    <row r="105" spans="1:99" ht="13.5" hidden="1" thickBot="1" x14ac:dyDescent="0.25">
      <c r="A105" s="11"/>
      <c r="B105" s="522" t="str">
        <f t="shared" si="41"/>
        <v>-</v>
      </c>
      <c r="C105" s="566">
        <v>73</v>
      </c>
      <c r="D105" s="616"/>
      <c r="E105" s="617"/>
      <c r="F105" s="515"/>
      <c r="G105" s="516"/>
      <c r="H105" s="581"/>
      <c r="I105" s="581"/>
      <c r="J105" s="569"/>
      <c r="K105" s="586"/>
      <c r="L105" s="587"/>
      <c r="M105" s="588"/>
      <c r="N105" s="589"/>
      <c r="O105" s="452" t="str">
        <f t="shared" si="113"/>
        <v/>
      </c>
      <c r="P105" s="453" t="str">
        <f t="shared" si="114"/>
        <v/>
      </c>
      <c r="Q105" s="499">
        <f t="shared" si="115"/>
        <v>0</v>
      </c>
      <c r="R105" s="500">
        <f t="shared" si="116"/>
        <v>0</v>
      </c>
      <c r="S105" s="454">
        <f t="shared" si="117"/>
        <v>0</v>
      </c>
      <c r="T105" s="524" t="str">
        <f t="shared" si="118"/>
        <v/>
      </c>
      <c r="U105" s="11"/>
      <c r="V105" s="12"/>
      <c r="W105" s="10"/>
      <c r="X105" s="10"/>
      <c r="Y105" s="10">
        <v>73</v>
      </c>
      <c r="Z105" s="71" t="str">
        <f t="shared" si="119"/>
        <v>-</v>
      </c>
      <c r="AA105" s="71">
        <f t="shared" si="120"/>
        <v>0</v>
      </c>
      <c r="AB105" s="10"/>
      <c r="AC105" s="134">
        <f t="shared" si="65"/>
        <v>0</v>
      </c>
      <c r="AD105" s="135">
        <f>IF(SUM(AC105:AC$112)=0,0,COUNTA(F105:G105)&gt;0)</f>
        <v>0</v>
      </c>
      <c r="AE105" s="134">
        <f t="shared" si="66"/>
        <v>0</v>
      </c>
      <c r="AF105" s="475">
        <f>IF(SUM(AC105:AC$112)=0,0,AND(AD105=FALSE,AE105=0,SUM(AE106:AE$112)&gt;0))</f>
        <v>0</v>
      </c>
      <c r="AG105" s="152">
        <f t="shared" si="67"/>
        <v>0</v>
      </c>
      <c r="AH105" s="135">
        <f t="shared" si="68"/>
        <v>0</v>
      </c>
      <c r="AI105" s="135">
        <f t="shared" si="69"/>
        <v>0</v>
      </c>
      <c r="AJ105" s="135">
        <f t="shared" si="70"/>
        <v>0</v>
      </c>
      <c r="AK105" s="183">
        <f t="shared" si="71"/>
        <v>0</v>
      </c>
      <c r="AL105" s="135">
        <f t="shared" si="72"/>
        <v>0</v>
      </c>
      <c r="AM105" s="151">
        <f t="shared" si="73"/>
        <v>0</v>
      </c>
      <c r="AN105" s="152">
        <f t="shared" si="74"/>
        <v>0</v>
      </c>
      <c r="AO105" s="135">
        <f t="shared" si="75"/>
        <v>0</v>
      </c>
      <c r="AP105" s="146">
        <f t="shared" si="76"/>
        <v>0</v>
      </c>
      <c r="AQ105" s="152">
        <f t="shared" si="77"/>
        <v>0</v>
      </c>
      <c r="AR105" s="151">
        <f t="shared" si="78"/>
        <v>0</v>
      </c>
      <c r="AS105" s="152">
        <f t="shared" si="79"/>
        <v>0</v>
      </c>
      <c r="AT105" s="135">
        <f t="shared" si="80"/>
        <v>0</v>
      </c>
      <c r="AU105" s="151">
        <f t="shared" si="81"/>
        <v>0</v>
      </c>
      <c r="AV105" s="152">
        <f t="shared" si="82"/>
        <v>0</v>
      </c>
      <c r="AW105" s="135">
        <f t="shared" si="83"/>
        <v>0</v>
      </c>
      <c r="AX105" s="134">
        <f t="shared" si="84"/>
        <v>0</v>
      </c>
      <c r="AY105" s="498" t="str">
        <f t="shared" si="121"/>
        <v/>
      </c>
      <c r="AZ105" s="152">
        <f t="shared" si="85"/>
        <v>0</v>
      </c>
      <c r="BA105" s="135">
        <f t="shared" si="86"/>
        <v>0</v>
      </c>
      <c r="BB105" s="151">
        <f t="shared" si="87"/>
        <v>0</v>
      </c>
      <c r="BC105" s="301" t="b">
        <f t="shared" si="88"/>
        <v>0</v>
      </c>
      <c r="BD105" s="109"/>
      <c r="BE105" s="313">
        <f t="shared" si="89"/>
        <v>0</v>
      </c>
      <c r="BF105" s="314">
        <f t="shared" si="90"/>
        <v>0</v>
      </c>
      <c r="BG105" s="314">
        <f t="shared" si="91"/>
        <v>0</v>
      </c>
      <c r="BH105" s="315">
        <f t="shared" si="92"/>
        <v>0</v>
      </c>
      <c r="BI105" s="308">
        <f t="shared" si="93"/>
        <v>0</v>
      </c>
      <c r="BJ105" s="308">
        <f t="shared" si="94"/>
        <v>0</v>
      </c>
      <c r="BK105" s="170">
        <f t="shared" si="95"/>
        <v>0</v>
      </c>
      <c r="BL105" s="324">
        <f t="shared" si="96"/>
        <v>0</v>
      </c>
      <c r="BM105" s="324">
        <f t="shared" si="97"/>
        <v>0</v>
      </c>
      <c r="BN105" s="324">
        <f t="shared" si="98"/>
        <v>0</v>
      </c>
      <c r="BO105" s="325">
        <f t="shared" si="99"/>
        <v>0</v>
      </c>
      <c r="BP105" s="326">
        <f t="shared" si="100"/>
        <v>0</v>
      </c>
      <c r="BQ105" s="324">
        <f t="shared" si="101"/>
        <v>0</v>
      </c>
      <c r="BR105" s="324">
        <f t="shared" si="102"/>
        <v>0</v>
      </c>
      <c r="BS105" s="325">
        <f t="shared" si="103"/>
        <v>0</v>
      </c>
      <c r="BT105" s="10"/>
      <c r="BU105" s="288">
        <f t="shared" si="104"/>
        <v>0</v>
      </c>
      <c r="BV105" s="289">
        <f t="shared" si="105"/>
        <v>0</v>
      </c>
      <c r="BW105" s="134">
        <f t="shared" si="106"/>
        <v>0</v>
      </c>
      <c r="BX105" s="294">
        <f t="shared" si="107"/>
        <v>0</v>
      </c>
      <c r="BY105" s="295">
        <f t="shared" si="108"/>
        <v>0</v>
      </c>
      <c r="BZ105" s="10"/>
      <c r="CA105" s="190">
        <f t="shared" si="109"/>
        <v>0</v>
      </c>
      <c r="CB105" s="191">
        <f t="shared" si="110"/>
        <v>0</v>
      </c>
      <c r="CC105" s="99">
        <f t="shared" si="111"/>
        <v>0</v>
      </c>
      <c r="CD105" s="299" t="str">
        <f t="shared" si="112"/>
        <v/>
      </c>
      <c r="CE105" s="305"/>
      <c r="CF105" s="10"/>
      <c r="CG105" s="10"/>
      <c r="CH105" s="10"/>
      <c r="CI105" s="10"/>
      <c r="CJ105" s="10"/>
      <c r="CK105" s="10"/>
      <c r="CL105" s="10"/>
      <c r="CM105" s="10"/>
      <c r="CN105" s="10"/>
      <c r="CO105" s="10"/>
      <c r="CP105" s="10"/>
      <c r="CQ105" s="10"/>
      <c r="CR105" s="10"/>
      <c r="CS105" s="10"/>
      <c r="CT105" s="10"/>
      <c r="CU105" s="10"/>
    </row>
    <row r="106" spans="1:99" ht="13.5" hidden="1" thickBot="1" x14ac:dyDescent="0.25">
      <c r="A106" s="11"/>
      <c r="B106" s="522" t="str">
        <f t="shared" si="41"/>
        <v>-</v>
      </c>
      <c r="C106" s="566">
        <v>74</v>
      </c>
      <c r="D106" s="616"/>
      <c r="E106" s="617"/>
      <c r="F106" s="515"/>
      <c r="G106" s="516"/>
      <c r="H106" s="581"/>
      <c r="I106" s="581"/>
      <c r="J106" s="569"/>
      <c r="K106" s="586"/>
      <c r="L106" s="587"/>
      <c r="M106" s="588"/>
      <c r="N106" s="589"/>
      <c r="O106" s="452" t="str">
        <f t="shared" si="113"/>
        <v/>
      </c>
      <c r="P106" s="453" t="str">
        <f t="shared" si="114"/>
        <v/>
      </c>
      <c r="Q106" s="499">
        <f t="shared" si="115"/>
        <v>0</v>
      </c>
      <c r="R106" s="500">
        <f t="shared" si="116"/>
        <v>0</v>
      </c>
      <c r="S106" s="454">
        <f t="shared" si="117"/>
        <v>0</v>
      </c>
      <c r="T106" s="524" t="str">
        <f t="shared" si="118"/>
        <v/>
      </c>
      <c r="U106" s="11"/>
      <c r="V106" s="12"/>
      <c r="W106" s="10"/>
      <c r="X106" s="10"/>
      <c r="Y106" s="10">
        <v>74</v>
      </c>
      <c r="Z106" s="71" t="str">
        <f t="shared" si="119"/>
        <v>-</v>
      </c>
      <c r="AA106" s="71">
        <f t="shared" si="120"/>
        <v>0</v>
      </c>
      <c r="AB106" s="10"/>
      <c r="AC106" s="134">
        <f t="shared" si="65"/>
        <v>0</v>
      </c>
      <c r="AD106" s="135">
        <f>IF(SUM(AC106:AC$112)=0,0,COUNTA(F106:G106)&gt;0)</f>
        <v>0</v>
      </c>
      <c r="AE106" s="134">
        <f t="shared" si="66"/>
        <v>0</v>
      </c>
      <c r="AF106" s="475">
        <f>IF(SUM(AC106:AC$112)=0,0,AND(AD106=FALSE,AE106=0,SUM(AE107:AE$112)&gt;0))</f>
        <v>0</v>
      </c>
      <c r="AG106" s="152">
        <f t="shared" si="67"/>
        <v>0</v>
      </c>
      <c r="AH106" s="135">
        <f t="shared" si="68"/>
        <v>0</v>
      </c>
      <c r="AI106" s="135">
        <f t="shared" si="69"/>
        <v>0</v>
      </c>
      <c r="AJ106" s="135">
        <f t="shared" si="70"/>
        <v>0</v>
      </c>
      <c r="AK106" s="183">
        <f t="shared" si="71"/>
        <v>0</v>
      </c>
      <c r="AL106" s="135">
        <f t="shared" si="72"/>
        <v>0</v>
      </c>
      <c r="AM106" s="151">
        <f t="shared" si="73"/>
        <v>0</v>
      </c>
      <c r="AN106" s="152">
        <f t="shared" si="74"/>
        <v>0</v>
      </c>
      <c r="AO106" s="135">
        <f t="shared" si="75"/>
        <v>0</v>
      </c>
      <c r="AP106" s="146">
        <f t="shared" si="76"/>
        <v>0</v>
      </c>
      <c r="AQ106" s="152">
        <f t="shared" si="77"/>
        <v>0</v>
      </c>
      <c r="AR106" s="151">
        <f t="shared" si="78"/>
        <v>0</v>
      </c>
      <c r="AS106" s="152">
        <f t="shared" si="79"/>
        <v>0</v>
      </c>
      <c r="AT106" s="135">
        <f t="shared" si="80"/>
        <v>0</v>
      </c>
      <c r="AU106" s="151">
        <f t="shared" si="81"/>
        <v>0</v>
      </c>
      <c r="AV106" s="152">
        <f t="shared" si="82"/>
        <v>0</v>
      </c>
      <c r="AW106" s="135">
        <f t="shared" si="83"/>
        <v>0</v>
      </c>
      <c r="AX106" s="134">
        <f t="shared" si="84"/>
        <v>0</v>
      </c>
      <c r="AY106" s="498" t="str">
        <f t="shared" si="121"/>
        <v/>
      </c>
      <c r="AZ106" s="152">
        <f t="shared" si="85"/>
        <v>0</v>
      </c>
      <c r="BA106" s="135">
        <f t="shared" si="86"/>
        <v>0</v>
      </c>
      <c r="BB106" s="151">
        <f t="shared" si="87"/>
        <v>0</v>
      </c>
      <c r="BC106" s="301" t="b">
        <f t="shared" si="88"/>
        <v>0</v>
      </c>
      <c r="BD106" s="109"/>
      <c r="BE106" s="313">
        <f t="shared" si="89"/>
        <v>0</v>
      </c>
      <c r="BF106" s="314">
        <f t="shared" si="90"/>
        <v>0</v>
      </c>
      <c r="BG106" s="314">
        <f t="shared" si="91"/>
        <v>0</v>
      </c>
      <c r="BH106" s="315">
        <f t="shared" si="92"/>
        <v>0</v>
      </c>
      <c r="BI106" s="308">
        <f t="shared" si="93"/>
        <v>0</v>
      </c>
      <c r="BJ106" s="308">
        <f t="shared" si="94"/>
        <v>0</v>
      </c>
      <c r="BK106" s="170">
        <f t="shared" si="95"/>
        <v>0</v>
      </c>
      <c r="BL106" s="324">
        <f t="shared" si="96"/>
        <v>0</v>
      </c>
      <c r="BM106" s="324">
        <f t="shared" si="97"/>
        <v>0</v>
      </c>
      <c r="BN106" s="324">
        <f t="shared" si="98"/>
        <v>0</v>
      </c>
      <c r="BO106" s="325">
        <f t="shared" si="99"/>
        <v>0</v>
      </c>
      <c r="BP106" s="326">
        <f t="shared" si="100"/>
        <v>0</v>
      </c>
      <c r="BQ106" s="324">
        <f t="shared" si="101"/>
        <v>0</v>
      </c>
      <c r="BR106" s="324">
        <f t="shared" si="102"/>
        <v>0</v>
      </c>
      <c r="BS106" s="325">
        <f t="shared" si="103"/>
        <v>0</v>
      </c>
      <c r="BT106" s="10"/>
      <c r="BU106" s="288">
        <f t="shared" si="104"/>
        <v>0</v>
      </c>
      <c r="BV106" s="289">
        <f t="shared" si="105"/>
        <v>0</v>
      </c>
      <c r="BW106" s="134">
        <f t="shared" si="106"/>
        <v>0</v>
      </c>
      <c r="BX106" s="294">
        <f t="shared" si="107"/>
        <v>0</v>
      </c>
      <c r="BY106" s="295">
        <f t="shared" si="108"/>
        <v>0</v>
      </c>
      <c r="BZ106" s="10"/>
      <c r="CA106" s="190">
        <f t="shared" si="109"/>
        <v>0</v>
      </c>
      <c r="CB106" s="191">
        <f t="shared" si="110"/>
        <v>0</v>
      </c>
      <c r="CC106" s="99">
        <f t="shared" si="111"/>
        <v>0</v>
      </c>
      <c r="CD106" s="299" t="str">
        <f t="shared" si="112"/>
        <v/>
      </c>
      <c r="CE106" s="305"/>
      <c r="CF106" s="10"/>
      <c r="CG106" s="10"/>
      <c r="CH106" s="10"/>
      <c r="CI106" s="10"/>
      <c r="CJ106" s="10"/>
      <c r="CK106" s="10"/>
      <c r="CL106" s="10"/>
      <c r="CM106" s="10"/>
      <c r="CN106" s="10"/>
      <c r="CO106" s="10"/>
      <c r="CP106" s="10"/>
      <c r="CQ106" s="10"/>
      <c r="CR106" s="10"/>
      <c r="CS106" s="10"/>
      <c r="CT106" s="10"/>
      <c r="CU106" s="10"/>
    </row>
    <row r="107" spans="1:99" ht="13.5" hidden="1" thickBot="1" x14ac:dyDescent="0.25">
      <c r="A107" s="11"/>
      <c r="B107" s="522" t="str">
        <f t="shared" si="41"/>
        <v>-</v>
      </c>
      <c r="C107" s="566">
        <v>75</v>
      </c>
      <c r="D107" s="616"/>
      <c r="E107" s="617"/>
      <c r="F107" s="515"/>
      <c r="G107" s="516"/>
      <c r="H107" s="581"/>
      <c r="I107" s="581"/>
      <c r="J107" s="569"/>
      <c r="K107" s="586"/>
      <c r="L107" s="587"/>
      <c r="M107" s="588"/>
      <c r="N107" s="589"/>
      <c r="O107" s="452" t="str">
        <f t="shared" si="113"/>
        <v/>
      </c>
      <c r="P107" s="453" t="str">
        <f t="shared" si="114"/>
        <v/>
      </c>
      <c r="Q107" s="499">
        <f t="shared" si="115"/>
        <v>0</v>
      </c>
      <c r="R107" s="500">
        <f t="shared" si="116"/>
        <v>0</v>
      </c>
      <c r="S107" s="454">
        <f t="shared" si="117"/>
        <v>0</v>
      </c>
      <c r="T107" s="524" t="str">
        <f t="shared" si="118"/>
        <v/>
      </c>
      <c r="U107" s="11"/>
      <c r="V107" s="12"/>
      <c r="W107" s="10"/>
      <c r="X107" s="10"/>
      <c r="Y107" s="10">
        <v>75</v>
      </c>
      <c r="Z107" s="71" t="str">
        <f t="shared" si="119"/>
        <v>-</v>
      </c>
      <c r="AA107" s="71">
        <f t="shared" si="120"/>
        <v>0</v>
      </c>
      <c r="AB107" s="10"/>
      <c r="AC107" s="134">
        <f t="shared" si="65"/>
        <v>0</v>
      </c>
      <c r="AD107" s="135">
        <f>IF(SUM(AC107:AC$112)=0,0,COUNTA(F107:G107)&gt;0)</f>
        <v>0</v>
      </c>
      <c r="AE107" s="134">
        <f t="shared" si="66"/>
        <v>0</v>
      </c>
      <c r="AF107" s="475">
        <f>IF(SUM(AC107:AC$112)=0,0,AND(AD107=FALSE,AE107=0,SUM(AE108:AE$112)&gt;0))</f>
        <v>0</v>
      </c>
      <c r="AG107" s="152">
        <f t="shared" si="67"/>
        <v>0</v>
      </c>
      <c r="AH107" s="135">
        <f t="shared" si="68"/>
        <v>0</v>
      </c>
      <c r="AI107" s="135">
        <f t="shared" si="69"/>
        <v>0</v>
      </c>
      <c r="AJ107" s="135">
        <f t="shared" si="70"/>
        <v>0</v>
      </c>
      <c r="AK107" s="183">
        <f t="shared" si="71"/>
        <v>0</v>
      </c>
      <c r="AL107" s="135">
        <f t="shared" si="72"/>
        <v>0</v>
      </c>
      <c r="AM107" s="151">
        <f t="shared" si="73"/>
        <v>0</v>
      </c>
      <c r="AN107" s="152">
        <f t="shared" si="74"/>
        <v>0</v>
      </c>
      <c r="AO107" s="135">
        <f t="shared" si="75"/>
        <v>0</v>
      </c>
      <c r="AP107" s="146">
        <f t="shared" si="76"/>
        <v>0</v>
      </c>
      <c r="AQ107" s="152">
        <f t="shared" si="77"/>
        <v>0</v>
      </c>
      <c r="AR107" s="151">
        <f t="shared" si="78"/>
        <v>0</v>
      </c>
      <c r="AS107" s="152">
        <f t="shared" si="79"/>
        <v>0</v>
      </c>
      <c r="AT107" s="135">
        <f t="shared" si="80"/>
        <v>0</v>
      </c>
      <c r="AU107" s="151">
        <f t="shared" si="81"/>
        <v>0</v>
      </c>
      <c r="AV107" s="152">
        <f t="shared" si="82"/>
        <v>0</v>
      </c>
      <c r="AW107" s="135">
        <f t="shared" si="83"/>
        <v>0</v>
      </c>
      <c r="AX107" s="134">
        <f t="shared" si="84"/>
        <v>0</v>
      </c>
      <c r="AY107" s="498" t="str">
        <f t="shared" si="121"/>
        <v/>
      </c>
      <c r="AZ107" s="152">
        <f t="shared" si="85"/>
        <v>0</v>
      </c>
      <c r="BA107" s="135">
        <f t="shared" si="86"/>
        <v>0</v>
      </c>
      <c r="BB107" s="151">
        <f t="shared" si="87"/>
        <v>0</v>
      </c>
      <c r="BC107" s="301" t="b">
        <f t="shared" si="88"/>
        <v>0</v>
      </c>
      <c r="BD107" s="109"/>
      <c r="BE107" s="313">
        <f t="shared" si="89"/>
        <v>0</v>
      </c>
      <c r="BF107" s="314">
        <f t="shared" si="90"/>
        <v>0</v>
      </c>
      <c r="BG107" s="314">
        <f t="shared" si="91"/>
        <v>0</v>
      </c>
      <c r="BH107" s="315">
        <f t="shared" si="92"/>
        <v>0</v>
      </c>
      <c r="BI107" s="308">
        <f t="shared" si="93"/>
        <v>0</v>
      </c>
      <c r="BJ107" s="308">
        <f t="shared" si="94"/>
        <v>0</v>
      </c>
      <c r="BK107" s="170">
        <f t="shared" si="95"/>
        <v>0</v>
      </c>
      <c r="BL107" s="324">
        <f t="shared" si="96"/>
        <v>0</v>
      </c>
      <c r="BM107" s="324">
        <f t="shared" si="97"/>
        <v>0</v>
      </c>
      <c r="BN107" s="324">
        <f t="shared" si="98"/>
        <v>0</v>
      </c>
      <c r="BO107" s="325">
        <f t="shared" si="99"/>
        <v>0</v>
      </c>
      <c r="BP107" s="326">
        <f t="shared" si="100"/>
        <v>0</v>
      </c>
      <c r="BQ107" s="324">
        <f t="shared" si="101"/>
        <v>0</v>
      </c>
      <c r="BR107" s="324">
        <f t="shared" si="102"/>
        <v>0</v>
      </c>
      <c r="BS107" s="325">
        <f t="shared" si="103"/>
        <v>0</v>
      </c>
      <c r="BT107" s="10"/>
      <c r="BU107" s="288">
        <f t="shared" si="104"/>
        <v>0</v>
      </c>
      <c r="BV107" s="289">
        <f t="shared" si="105"/>
        <v>0</v>
      </c>
      <c r="BW107" s="134">
        <f t="shared" si="106"/>
        <v>0</v>
      </c>
      <c r="BX107" s="294">
        <f t="shared" si="107"/>
        <v>0</v>
      </c>
      <c r="BY107" s="295">
        <f t="shared" si="108"/>
        <v>0</v>
      </c>
      <c r="BZ107" s="10"/>
      <c r="CA107" s="190">
        <f t="shared" si="109"/>
        <v>0</v>
      </c>
      <c r="CB107" s="191">
        <f t="shared" si="110"/>
        <v>0</v>
      </c>
      <c r="CC107" s="99">
        <f t="shared" si="111"/>
        <v>0</v>
      </c>
      <c r="CD107" s="299" t="str">
        <f t="shared" si="112"/>
        <v/>
      </c>
      <c r="CE107" s="305"/>
      <c r="CF107" s="10"/>
      <c r="CG107" s="10"/>
      <c r="CH107" s="10"/>
      <c r="CI107" s="10"/>
      <c r="CJ107" s="10"/>
      <c r="CK107" s="10"/>
      <c r="CL107" s="10"/>
      <c r="CM107" s="10"/>
      <c r="CN107" s="10"/>
      <c r="CO107" s="10"/>
      <c r="CP107" s="10"/>
      <c r="CQ107" s="10"/>
      <c r="CR107" s="10"/>
      <c r="CS107" s="10"/>
      <c r="CT107" s="10"/>
      <c r="CU107" s="10"/>
    </row>
    <row r="108" spans="1:99" ht="13.5" hidden="1" thickBot="1" x14ac:dyDescent="0.25">
      <c r="A108" s="11"/>
      <c r="B108" s="522" t="str">
        <f t="shared" si="41"/>
        <v>-</v>
      </c>
      <c r="C108" s="566">
        <v>76</v>
      </c>
      <c r="D108" s="616"/>
      <c r="E108" s="617"/>
      <c r="F108" s="515"/>
      <c r="G108" s="516"/>
      <c r="H108" s="581"/>
      <c r="I108" s="581"/>
      <c r="J108" s="569"/>
      <c r="K108" s="586"/>
      <c r="L108" s="587"/>
      <c r="M108" s="588"/>
      <c r="N108" s="589"/>
      <c r="O108" s="452" t="str">
        <f t="shared" si="113"/>
        <v/>
      </c>
      <c r="P108" s="453" t="str">
        <f t="shared" si="114"/>
        <v/>
      </c>
      <c r="Q108" s="499">
        <f t="shared" si="115"/>
        <v>0</v>
      </c>
      <c r="R108" s="500">
        <f t="shared" si="116"/>
        <v>0</v>
      </c>
      <c r="S108" s="454">
        <f t="shared" si="117"/>
        <v>0</v>
      </c>
      <c r="T108" s="524" t="str">
        <f t="shared" si="118"/>
        <v/>
      </c>
      <c r="U108" s="11"/>
      <c r="V108" s="12"/>
      <c r="W108" s="10"/>
      <c r="X108" s="10"/>
      <c r="Y108" s="10">
        <v>76</v>
      </c>
      <c r="Z108" s="71" t="str">
        <f t="shared" si="119"/>
        <v>-</v>
      </c>
      <c r="AA108" s="71">
        <f t="shared" si="120"/>
        <v>0</v>
      </c>
      <c r="AB108" s="10"/>
      <c r="AC108" s="134">
        <f t="shared" si="65"/>
        <v>0</v>
      </c>
      <c r="AD108" s="135">
        <f>IF(SUM(AC108:AC$112)=0,0,COUNTA(F108:G108)&gt;0)</f>
        <v>0</v>
      </c>
      <c r="AE108" s="134">
        <f t="shared" si="66"/>
        <v>0</v>
      </c>
      <c r="AF108" s="475">
        <f>IF(SUM(AC108:AC$112)=0,0,AND(AD108=FALSE,AE108=0,SUM(AE109:AE$112)&gt;0))</f>
        <v>0</v>
      </c>
      <c r="AG108" s="152">
        <f t="shared" si="67"/>
        <v>0</v>
      </c>
      <c r="AH108" s="135">
        <f t="shared" si="68"/>
        <v>0</v>
      </c>
      <c r="AI108" s="135">
        <f t="shared" si="69"/>
        <v>0</v>
      </c>
      <c r="AJ108" s="135">
        <f t="shared" si="70"/>
        <v>0</v>
      </c>
      <c r="AK108" s="183">
        <f t="shared" si="71"/>
        <v>0</v>
      </c>
      <c r="AL108" s="135">
        <f t="shared" si="72"/>
        <v>0</v>
      </c>
      <c r="AM108" s="151">
        <f t="shared" si="73"/>
        <v>0</v>
      </c>
      <c r="AN108" s="152">
        <f t="shared" si="74"/>
        <v>0</v>
      </c>
      <c r="AO108" s="135">
        <f t="shared" si="75"/>
        <v>0</v>
      </c>
      <c r="AP108" s="146">
        <f t="shared" si="76"/>
        <v>0</v>
      </c>
      <c r="AQ108" s="152">
        <f t="shared" si="77"/>
        <v>0</v>
      </c>
      <c r="AR108" s="151">
        <f t="shared" si="78"/>
        <v>0</v>
      </c>
      <c r="AS108" s="152">
        <f t="shared" si="79"/>
        <v>0</v>
      </c>
      <c r="AT108" s="135">
        <f t="shared" si="80"/>
        <v>0</v>
      </c>
      <c r="AU108" s="151">
        <f t="shared" si="81"/>
        <v>0</v>
      </c>
      <c r="AV108" s="152">
        <f t="shared" si="82"/>
        <v>0</v>
      </c>
      <c r="AW108" s="135">
        <f t="shared" si="83"/>
        <v>0</v>
      </c>
      <c r="AX108" s="134">
        <f t="shared" si="84"/>
        <v>0</v>
      </c>
      <c r="AY108" s="498" t="str">
        <f t="shared" si="121"/>
        <v/>
      </c>
      <c r="AZ108" s="152">
        <f t="shared" si="85"/>
        <v>0</v>
      </c>
      <c r="BA108" s="135">
        <f t="shared" si="86"/>
        <v>0</v>
      </c>
      <c r="BB108" s="151">
        <f t="shared" si="87"/>
        <v>0</v>
      </c>
      <c r="BC108" s="301" t="b">
        <f t="shared" si="88"/>
        <v>0</v>
      </c>
      <c r="BD108" s="109"/>
      <c r="BE108" s="313">
        <f t="shared" si="89"/>
        <v>0</v>
      </c>
      <c r="BF108" s="314">
        <f t="shared" si="90"/>
        <v>0</v>
      </c>
      <c r="BG108" s="314">
        <f t="shared" si="91"/>
        <v>0</v>
      </c>
      <c r="BH108" s="315">
        <f t="shared" si="92"/>
        <v>0</v>
      </c>
      <c r="BI108" s="308">
        <f t="shared" si="93"/>
        <v>0</v>
      </c>
      <c r="BJ108" s="308">
        <f t="shared" si="94"/>
        <v>0</v>
      </c>
      <c r="BK108" s="170">
        <f t="shared" si="95"/>
        <v>0</v>
      </c>
      <c r="BL108" s="324">
        <f t="shared" si="96"/>
        <v>0</v>
      </c>
      <c r="BM108" s="324">
        <f t="shared" si="97"/>
        <v>0</v>
      </c>
      <c r="BN108" s="324">
        <f t="shared" si="98"/>
        <v>0</v>
      </c>
      <c r="BO108" s="325">
        <f t="shared" si="99"/>
        <v>0</v>
      </c>
      <c r="BP108" s="326">
        <f t="shared" si="100"/>
        <v>0</v>
      </c>
      <c r="BQ108" s="324">
        <f t="shared" si="101"/>
        <v>0</v>
      </c>
      <c r="BR108" s="324">
        <f t="shared" si="102"/>
        <v>0</v>
      </c>
      <c r="BS108" s="325">
        <f t="shared" si="103"/>
        <v>0</v>
      </c>
      <c r="BT108" s="10"/>
      <c r="BU108" s="288">
        <f t="shared" si="104"/>
        <v>0</v>
      </c>
      <c r="BV108" s="289">
        <f t="shared" si="105"/>
        <v>0</v>
      </c>
      <c r="BW108" s="134">
        <f t="shared" si="106"/>
        <v>0</v>
      </c>
      <c r="BX108" s="294">
        <f t="shared" si="107"/>
        <v>0</v>
      </c>
      <c r="BY108" s="295">
        <f t="shared" si="108"/>
        <v>0</v>
      </c>
      <c r="BZ108" s="10"/>
      <c r="CA108" s="190">
        <f t="shared" si="109"/>
        <v>0</v>
      </c>
      <c r="CB108" s="191">
        <f t="shared" si="110"/>
        <v>0</v>
      </c>
      <c r="CC108" s="99">
        <f t="shared" si="111"/>
        <v>0</v>
      </c>
      <c r="CD108" s="299" t="str">
        <f t="shared" si="112"/>
        <v/>
      </c>
      <c r="CE108" s="305"/>
      <c r="CF108" s="10"/>
      <c r="CG108" s="10"/>
      <c r="CH108" s="10"/>
      <c r="CI108" s="10"/>
      <c r="CJ108" s="10"/>
      <c r="CK108" s="10"/>
      <c r="CL108" s="10"/>
      <c r="CM108" s="10"/>
      <c r="CN108" s="10"/>
      <c r="CO108" s="10"/>
      <c r="CP108" s="10"/>
      <c r="CQ108" s="10"/>
      <c r="CR108" s="10"/>
      <c r="CS108" s="10"/>
      <c r="CT108" s="10"/>
      <c r="CU108" s="10"/>
    </row>
    <row r="109" spans="1:99" ht="13.5" hidden="1" thickBot="1" x14ac:dyDescent="0.25">
      <c r="A109" s="11"/>
      <c r="B109" s="522" t="str">
        <f t="shared" si="41"/>
        <v>-</v>
      </c>
      <c r="C109" s="566">
        <v>77</v>
      </c>
      <c r="D109" s="616"/>
      <c r="E109" s="617"/>
      <c r="F109" s="515"/>
      <c r="G109" s="516"/>
      <c r="H109" s="581"/>
      <c r="I109" s="581"/>
      <c r="J109" s="569"/>
      <c r="K109" s="586"/>
      <c r="L109" s="587"/>
      <c r="M109" s="588"/>
      <c r="N109" s="589"/>
      <c r="O109" s="452" t="str">
        <f t="shared" si="113"/>
        <v/>
      </c>
      <c r="P109" s="453" t="str">
        <f t="shared" si="114"/>
        <v/>
      </c>
      <c r="Q109" s="499">
        <f t="shared" si="115"/>
        <v>0</v>
      </c>
      <c r="R109" s="500">
        <f t="shared" si="116"/>
        <v>0</v>
      </c>
      <c r="S109" s="454">
        <f t="shared" si="117"/>
        <v>0</v>
      </c>
      <c r="T109" s="524" t="str">
        <f t="shared" si="118"/>
        <v/>
      </c>
      <c r="U109" s="11"/>
      <c r="V109" s="12"/>
      <c r="W109" s="10"/>
      <c r="X109" s="10"/>
      <c r="Y109" s="10">
        <v>77</v>
      </c>
      <c r="Z109" s="71" t="str">
        <f t="shared" si="119"/>
        <v>-</v>
      </c>
      <c r="AA109" s="71">
        <f t="shared" si="120"/>
        <v>0</v>
      </c>
      <c r="AB109" s="10"/>
      <c r="AC109" s="134">
        <f t="shared" si="65"/>
        <v>0</v>
      </c>
      <c r="AD109" s="135">
        <f>IF(SUM(AC109:AC$112)=0,0,COUNTA(F109:G109)&gt;0)</f>
        <v>0</v>
      </c>
      <c r="AE109" s="134">
        <f t="shared" si="66"/>
        <v>0</v>
      </c>
      <c r="AF109" s="475">
        <f>IF(SUM(AC109:AC$112)=0,0,AND(AD109=FALSE,AE109=0,SUM(AE110:AE$112)&gt;0))</f>
        <v>0</v>
      </c>
      <c r="AG109" s="152">
        <f t="shared" si="67"/>
        <v>0</v>
      </c>
      <c r="AH109" s="135">
        <f t="shared" si="68"/>
        <v>0</v>
      </c>
      <c r="AI109" s="135">
        <f t="shared" si="69"/>
        <v>0</v>
      </c>
      <c r="AJ109" s="135">
        <f t="shared" si="70"/>
        <v>0</v>
      </c>
      <c r="AK109" s="183">
        <f t="shared" si="71"/>
        <v>0</v>
      </c>
      <c r="AL109" s="135">
        <f t="shared" si="72"/>
        <v>0</v>
      </c>
      <c r="AM109" s="151">
        <f t="shared" si="73"/>
        <v>0</v>
      </c>
      <c r="AN109" s="152">
        <f t="shared" si="74"/>
        <v>0</v>
      </c>
      <c r="AO109" s="135">
        <f t="shared" si="75"/>
        <v>0</v>
      </c>
      <c r="AP109" s="146">
        <f t="shared" si="76"/>
        <v>0</v>
      </c>
      <c r="AQ109" s="152">
        <f t="shared" si="77"/>
        <v>0</v>
      </c>
      <c r="AR109" s="151">
        <f t="shared" si="78"/>
        <v>0</v>
      </c>
      <c r="AS109" s="152">
        <f t="shared" si="79"/>
        <v>0</v>
      </c>
      <c r="AT109" s="135">
        <f t="shared" si="80"/>
        <v>0</v>
      </c>
      <c r="AU109" s="151">
        <f t="shared" si="81"/>
        <v>0</v>
      </c>
      <c r="AV109" s="152">
        <f t="shared" si="82"/>
        <v>0</v>
      </c>
      <c r="AW109" s="135">
        <f t="shared" si="83"/>
        <v>0</v>
      </c>
      <c r="AX109" s="134">
        <f t="shared" si="84"/>
        <v>0</v>
      </c>
      <c r="AY109" s="498" t="str">
        <f t="shared" si="121"/>
        <v/>
      </c>
      <c r="AZ109" s="152">
        <f t="shared" si="85"/>
        <v>0</v>
      </c>
      <c r="BA109" s="135">
        <f t="shared" si="86"/>
        <v>0</v>
      </c>
      <c r="BB109" s="151">
        <f t="shared" si="87"/>
        <v>0</v>
      </c>
      <c r="BC109" s="301" t="b">
        <f t="shared" si="88"/>
        <v>0</v>
      </c>
      <c r="BD109" s="109"/>
      <c r="BE109" s="313">
        <f t="shared" si="89"/>
        <v>0</v>
      </c>
      <c r="BF109" s="314">
        <f t="shared" si="90"/>
        <v>0</v>
      </c>
      <c r="BG109" s="314">
        <f t="shared" si="91"/>
        <v>0</v>
      </c>
      <c r="BH109" s="315">
        <f t="shared" si="92"/>
        <v>0</v>
      </c>
      <c r="BI109" s="308">
        <f t="shared" si="93"/>
        <v>0</v>
      </c>
      <c r="BJ109" s="308">
        <f t="shared" si="94"/>
        <v>0</v>
      </c>
      <c r="BK109" s="170">
        <f t="shared" si="95"/>
        <v>0</v>
      </c>
      <c r="BL109" s="324">
        <f t="shared" si="96"/>
        <v>0</v>
      </c>
      <c r="BM109" s="324">
        <f t="shared" si="97"/>
        <v>0</v>
      </c>
      <c r="BN109" s="324">
        <f t="shared" si="98"/>
        <v>0</v>
      </c>
      <c r="BO109" s="325">
        <f t="shared" si="99"/>
        <v>0</v>
      </c>
      <c r="BP109" s="326">
        <f t="shared" si="100"/>
        <v>0</v>
      </c>
      <c r="BQ109" s="324">
        <f t="shared" si="101"/>
        <v>0</v>
      </c>
      <c r="BR109" s="324">
        <f t="shared" si="102"/>
        <v>0</v>
      </c>
      <c r="BS109" s="325">
        <f t="shared" si="103"/>
        <v>0</v>
      </c>
      <c r="BT109" s="10"/>
      <c r="BU109" s="288">
        <f t="shared" si="104"/>
        <v>0</v>
      </c>
      <c r="BV109" s="289">
        <f t="shared" si="105"/>
        <v>0</v>
      </c>
      <c r="BW109" s="134">
        <f t="shared" si="106"/>
        <v>0</v>
      </c>
      <c r="BX109" s="294">
        <f t="shared" si="107"/>
        <v>0</v>
      </c>
      <c r="BY109" s="295">
        <f t="shared" si="108"/>
        <v>0</v>
      </c>
      <c r="BZ109" s="10"/>
      <c r="CA109" s="190">
        <f t="shared" si="109"/>
        <v>0</v>
      </c>
      <c r="CB109" s="191">
        <f t="shared" si="110"/>
        <v>0</v>
      </c>
      <c r="CC109" s="99">
        <f t="shared" si="111"/>
        <v>0</v>
      </c>
      <c r="CD109" s="299" t="str">
        <f t="shared" si="112"/>
        <v/>
      </c>
      <c r="CE109" s="305"/>
      <c r="CF109" s="10"/>
      <c r="CG109" s="10"/>
      <c r="CH109" s="10"/>
      <c r="CI109" s="10"/>
      <c r="CJ109" s="10"/>
      <c r="CK109" s="10"/>
      <c r="CL109" s="10"/>
      <c r="CM109" s="10"/>
      <c r="CN109" s="10"/>
      <c r="CO109" s="10"/>
      <c r="CP109" s="10"/>
      <c r="CQ109" s="10"/>
      <c r="CR109" s="10"/>
      <c r="CS109" s="10"/>
      <c r="CT109" s="10"/>
      <c r="CU109" s="10"/>
    </row>
    <row r="110" spans="1:99" ht="13.5" hidden="1" thickBot="1" x14ac:dyDescent="0.25">
      <c r="A110" s="11"/>
      <c r="B110" s="522" t="str">
        <f t="shared" si="41"/>
        <v>-</v>
      </c>
      <c r="C110" s="566">
        <v>78</v>
      </c>
      <c r="D110" s="616"/>
      <c r="E110" s="617"/>
      <c r="F110" s="515"/>
      <c r="G110" s="516"/>
      <c r="H110" s="581"/>
      <c r="I110" s="581"/>
      <c r="J110" s="569"/>
      <c r="K110" s="586"/>
      <c r="L110" s="587"/>
      <c r="M110" s="588"/>
      <c r="N110" s="589"/>
      <c r="O110" s="452" t="str">
        <f t="shared" si="113"/>
        <v/>
      </c>
      <c r="P110" s="453" t="str">
        <f t="shared" si="114"/>
        <v/>
      </c>
      <c r="Q110" s="499">
        <f t="shared" si="115"/>
        <v>0</v>
      </c>
      <c r="R110" s="500">
        <f t="shared" si="116"/>
        <v>0</v>
      </c>
      <c r="S110" s="454">
        <f t="shared" si="117"/>
        <v>0</v>
      </c>
      <c r="T110" s="524" t="str">
        <f t="shared" si="118"/>
        <v/>
      </c>
      <c r="U110" s="11"/>
      <c r="V110" s="12"/>
      <c r="W110" s="10"/>
      <c r="X110" s="10"/>
      <c r="Y110" s="10">
        <v>78</v>
      </c>
      <c r="Z110" s="71" t="str">
        <f t="shared" si="119"/>
        <v>-</v>
      </c>
      <c r="AA110" s="71">
        <f t="shared" si="120"/>
        <v>0</v>
      </c>
      <c r="AB110" s="10"/>
      <c r="AC110" s="134">
        <f t="shared" si="65"/>
        <v>0</v>
      </c>
      <c r="AD110" s="135">
        <f>IF(SUM(AC110:AC$112)=0,0,COUNTA(F110:G110)&gt;0)</f>
        <v>0</v>
      </c>
      <c r="AE110" s="134">
        <f t="shared" si="66"/>
        <v>0</v>
      </c>
      <c r="AF110" s="475">
        <f>IF(SUM(AC110:AC$112)=0,0,AND(AD110=FALSE,AE110=0,SUM(AE111:AE$112)&gt;0))</f>
        <v>0</v>
      </c>
      <c r="AG110" s="152">
        <f t="shared" si="67"/>
        <v>0</v>
      </c>
      <c r="AH110" s="135">
        <f t="shared" si="68"/>
        <v>0</v>
      </c>
      <c r="AI110" s="135">
        <f t="shared" si="69"/>
        <v>0</v>
      </c>
      <c r="AJ110" s="135">
        <f t="shared" si="70"/>
        <v>0</v>
      </c>
      <c r="AK110" s="183">
        <f t="shared" si="71"/>
        <v>0</v>
      </c>
      <c r="AL110" s="135">
        <f t="shared" si="72"/>
        <v>0</v>
      </c>
      <c r="AM110" s="151">
        <f t="shared" si="73"/>
        <v>0</v>
      </c>
      <c r="AN110" s="152">
        <f t="shared" si="74"/>
        <v>0</v>
      </c>
      <c r="AO110" s="135">
        <f t="shared" si="75"/>
        <v>0</v>
      </c>
      <c r="AP110" s="146">
        <f t="shared" si="76"/>
        <v>0</v>
      </c>
      <c r="AQ110" s="152">
        <f t="shared" si="77"/>
        <v>0</v>
      </c>
      <c r="AR110" s="151">
        <f t="shared" si="78"/>
        <v>0</v>
      </c>
      <c r="AS110" s="152">
        <f t="shared" si="79"/>
        <v>0</v>
      </c>
      <c r="AT110" s="135">
        <f t="shared" si="80"/>
        <v>0</v>
      </c>
      <c r="AU110" s="151">
        <f t="shared" si="81"/>
        <v>0</v>
      </c>
      <c r="AV110" s="152">
        <f t="shared" si="82"/>
        <v>0</v>
      </c>
      <c r="AW110" s="135">
        <f t="shared" si="83"/>
        <v>0</v>
      </c>
      <c r="AX110" s="134">
        <f t="shared" si="84"/>
        <v>0</v>
      </c>
      <c r="AY110" s="498" t="str">
        <f t="shared" si="121"/>
        <v/>
      </c>
      <c r="AZ110" s="152">
        <f t="shared" si="85"/>
        <v>0</v>
      </c>
      <c r="BA110" s="135">
        <f t="shared" si="86"/>
        <v>0</v>
      </c>
      <c r="BB110" s="151">
        <f t="shared" si="87"/>
        <v>0</v>
      </c>
      <c r="BC110" s="301" t="b">
        <f t="shared" si="88"/>
        <v>0</v>
      </c>
      <c r="BD110" s="109"/>
      <c r="BE110" s="313">
        <f t="shared" si="89"/>
        <v>0</v>
      </c>
      <c r="BF110" s="314">
        <f t="shared" si="90"/>
        <v>0</v>
      </c>
      <c r="BG110" s="314">
        <f t="shared" si="91"/>
        <v>0</v>
      </c>
      <c r="BH110" s="315">
        <f t="shared" si="92"/>
        <v>0</v>
      </c>
      <c r="BI110" s="308">
        <f t="shared" si="93"/>
        <v>0</v>
      </c>
      <c r="BJ110" s="308">
        <f t="shared" si="94"/>
        <v>0</v>
      </c>
      <c r="BK110" s="170">
        <f t="shared" si="95"/>
        <v>0</v>
      </c>
      <c r="BL110" s="324">
        <f t="shared" si="96"/>
        <v>0</v>
      </c>
      <c r="BM110" s="324">
        <f t="shared" si="97"/>
        <v>0</v>
      </c>
      <c r="BN110" s="324">
        <f t="shared" si="98"/>
        <v>0</v>
      </c>
      <c r="BO110" s="325">
        <f t="shared" si="99"/>
        <v>0</v>
      </c>
      <c r="BP110" s="326">
        <f t="shared" si="100"/>
        <v>0</v>
      </c>
      <c r="BQ110" s="324">
        <f t="shared" si="101"/>
        <v>0</v>
      </c>
      <c r="BR110" s="324">
        <f t="shared" si="102"/>
        <v>0</v>
      </c>
      <c r="BS110" s="325">
        <f t="shared" si="103"/>
        <v>0</v>
      </c>
      <c r="BT110" s="10"/>
      <c r="BU110" s="288">
        <f t="shared" si="104"/>
        <v>0</v>
      </c>
      <c r="BV110" s="289">
        <f t="shared" si="105"/>
        <v>0</v>
      </c>
      <c r="BW110" s="134">
        <f t="shared" si="106"/>
        <v>0</v>
      </c>
      <c r="BX110" s="294">
        <f t="shared" si="107"/>
        <v>0</v>
      </c>
      <c r="BY110" s="295">
        <f t="shared" si="108"/>
        <v>0</v>
      </c>
      <c r="BZ110" s="10"/>
      <c r="CA110" s="190">
        <f t="shared" si="109"/>
        <v>0</v>
      </c>
      <c r="CB110" s="191">
        <f t="shared" si="110"/>
        <v>0</v>
      </c>
      <c r="CC110" s="99">
        <f t="shared" si="111"/>
        <v>0</v>
      </c>
      <c r="CD110" s="299" t="str">
        <f t="shared" si="112"/>
        <v/>
      </c>
      <c r="CE110" s="305"/>
      <c r="CF110" s="10"/>
      <c r="CG110" s="10"/>
      <c r="CH110" s="10"/>
      <c r="CI110" s="10"/>
      <c r="CJ110" s="10"/>
      <c r="CK110" s="10"/>
      <c r="CL110" s="10"/>
      <c r="CM110" s="10"/>
      <c r="CN110" s="10"/>
      <c r="CO110" s="10"/>
      <c r="CP110" s="10"/>
      <c r="CQ110" s="10"/>
      <c r="CR110" s="10"/>
      <c r="CS110" s="10"/>
      <c r="CT110" s="10"/>
      <c r="CU110" s="10"/>
    </row>
    <row r="111" spans="1:99" ht="13.5" hidden="1" thickBot="1" x14ac:dyDescent="0.25">
      <c r="A111" s="11"/>
      <c r="B111" s="522" t="str">
        <f t="shared" si="41"/>
        <v>-</v>
      </c>
      <c r="C111" s="566">
        <v>79</v>
      </c>
      <c r="D111" s="616"/>
      <c r="E111" s="617"/>
      <c r="F111" s="515"/>
      <c r="G111" s="516"/>
      <c r="H111" s="581"/>
      <c r="I111" s="581"/>
      <c r="J111" s="569"/>
      <c r="K111" s="586"/>
      <c r="L111" s="587"/>
      <c r="M111" s="588"/>
      <c r="N111" s="589"/>
      <c r="O111" s="452" t="str">
        <f t="shared" si="113"/>
        <v/>
      </c>
      <c r="P111" s="453" t="str">
        <f t="shared" si="114"/>
        <v/>
      </c>
      <c r="Q111" s="499">
        <f t="shared" si="115"/>
        <v>0</v>
      </c>
      <c r="R111" s="500">
        <f t="shared" si="116"/>
        <v>0</v>
      </c>
      <c r="S111" s="454">
        <f t="shared" si="117"/>
        <v>0</v>
      </c>
      <c r="T111" s="524" t="str">
        <f t="shared" si="118"/>
        <v/>
      </c>
      <c r="U111" s="11"/>
      <c r="V111" s="12"/>
      <c r="W111" s="10"/>
      <c r="X111" s="10"/>
      <c r="Y111" s="10">
        <v>79</v>
      </c>
      <c r="Z111" s="71" t="str">
        <f t="shared" si="119"/>
        <v>-</v>
      </c>
      <c r="AA111" s="71">
        <f t="shared" si="120"/>
        <v>0</v>
      </c>
      <c r="AB111" s="10"/>
      <c r="AC111" s="134">
        <f t="shared" si="65"/>
        <v>0</v>
      </c>
      <c r="AD111" s="135">
        <f>IF(SUM(AC111:AC$112)=0,0,COUNTA(F111:G111)&gt;0)</f>
        <v>0</v>
      </c>
      <c r="AE111" s="134">
        <f t="shared" si="66"/>
        <v>0</v>
      </c>
      <c r="AF111" s="475">
        <f>IF(SUM(AC111:AC$112)=0,0,AND(AD111=FALSE,AE111=0,SUM(AE112:AE$112)&gt;0))</f>
        <v>0</v>
      </c>
      <c r="AG111" s="152">
        <f t="shared" si="67"/>
        <v>0</v>
      </c>
      <c r="AH111" s="135">
        <f t="shared" si="68"/>
        <v>0</v>
      </c>
      <c r="AI111" s="135">
        <f t="shared" si="69"/>
        <v>0</v>
      </c>
      <c r="AJ111" s="135">
        <f t="shared" si="70"/>
        <v>0</v>
      </c>
      <c r="AK111" s="183">
        <f t="shared" si="71"/>
        <v>0</v>
      </c>
      <c r="AL111" s="135">
        <f t="shared" si="72"/>
        <v>0</v>
      </c>
      <c r="AM111" s="151">
        <f t="shared" si="73"/>
        <v>0</v>
      </c>
      <c r="AN111" s="152">
        <f t="shared" si="74"/>
        <v>0</v>
      </c>
      <c r="AO111" s="135">
        <f t="shared" si="75"/>
        <v>0</v>
      </c>
      <c r="AP111" s="146">
        <f t="shared" si="76"/>
        <v>0</v>
      </c>
      <c r="AQ111" s="152">
        <f t="shared" si="77"/>
        <v>0</v>
      </c>
      <c r="AR111" s="151">
        <f t="shared" si="78"/>
        <v>0</v>
      </c>
      <c r="AS111" s="152">
        <f t="shared" si="79"/>
        <v>0</v>
      </c>
      <c r="AT111" s="135">
        <f t="shared" si="80"/>
        <v>0</v>
      </c>
      <c r="AU111" s="151">
        <f t="shared" si="81"/>
        <v>0</v>
      </c>
      <c r="AV111" s="152">
        <f t="shared" si="82"/>
        <v>0</v>
      </c>
      <c r="AW111" s="135">
        <f t="shared" si="83"/>
        <v>0</v>
      </c>
      <c r="AX111" s="134">
        <f t="shared" si="84"/>
        <v>0</v>
      </c>
      <c r="AY111" s="498" t="str">
        <f t="shared" si="121"/>
        <v/>
      </c>
      <c r="AZ111" s="152">
        <f t="shared" si="85"/>
        <v>0</v>
      </c>
      <c r="BA111" s="135">
        <f t="shared" si="86"/>
        <v>0</v>
      </c>
      <c r="BB111" s="151">
        <f t="shared" si="87"/>
        <v>0</v>
      </c>
      <c r="BC111" s="301" t="b">
        <f t="shared" si="88"/>
        <v>0</v>
      </c>
      <c r="BD111" s="109"/>
      <c r="BE111" s="313">
        <f t="shared" si="89"/>
        <v>0</v>
      </c>
      <c r="BF111" s="314">
        <f t="shared" si="90"/>
        <v>0</v>
      </c>
      <c r="BG111" s="314">
        <f t="shared" si="91"/>
        <v>0</v>
      </c>
      <c r="BH111" s="315">
        <f t="shared" si="92"/>
        <v>0</v>
      </c>
      <c r="BI111" s="308">
        <f t="shared" si="93"/>
        <v>0</v>
      </c>
      <c r="BJ111" s="308">
        <f t="shared" si="94"/>
        <v>0</v>
      </c>
      <c r="BK111" s="170">
        <f t="shared" si="95"/>
        <v>0</v>
      </c>
      <c r="BL111" s="324">
        <f t="shared" si="96"/>
        <v>0</v>
      </c>
      <c r="BM111" s="324">
        <f t="shared" si="97"/>
        <v>0</v>
      </c>
      <c r="BN111" s="324">
        <f t="shared" si="98"/>
        <v>0</v>
      </c>
      <c r="BO111" s="325">
        <f t="shared" si="99"/>
        <v>0</v>
      </c>
      <c r="BP111" s="326">
        <f t="shared" si="100"/>
        <v>0</v>
      </c>
      <c r="BQ111" s="324">
        <f t="shared" si="101"/>
        <v>0</v>
      </c>
      <c r="BR111" s="324">
        <f t="shared" si="102"/>
        <v>0</v>
      </c>
      <c r="BS111" s="325">
        <f t="shared" si="103"/>
        <v>0</v>
      </c>
      <c r="BT111" s="10"/>
      <c r="BU111" s="288">
        <f t="shared" si="104"/>
        <v>0</v>
      </c>
      <c r="BV111" s="289">
        <f t="shared" si="105"/>
        <v>0</v>
      </c>
      <c r="BW111" s="134">
        <f t="shared" si="106"/>
        <v>0</v>
      </c>
      <c r="BX111" s="294">
        <f t="shared" si="107"/>
        <v>0</v>
      </c>
      <c r="BY111" s="295">
        <f t="shared" si="108"/>
        <v>0</v>
      </c>
      <c r="BZ111" s="10"/>
      <c r="CA111" s="190">
        <f t="shared" si="109"/>
        <v>0</v>
      </c>
      <c r="CB111" s="191">
        <f t="shared" si="110"/>
        <v>0</v>
      </c>
      <c r="CC111" s="99">
        <f t="shared" si="111"/>
        <v>0</v>
      </c>
      <c r="CD111" s="299" t="str">
        <f t="shared" si="112"/>
        <v/>
      </c>
      <c r="CE111" s="305"/>
      <c r="CF111" s="10"/>
      <c r="CG111" s="10"/>
      <c r="CH111" s="10"/>
      <c r="CI111" s="10"/>
      <c r="CJ111" s="10"/>
      <c r="CK111" s="10"/>
      <c r="CL111" s="10"/>
      <c r="CM111" s="10"/>
      <c r="CN111" s="10"/>
      <c r="CO111" s="10"/>
      <c r="CP111" s="10"/>
      <c r="CQ111" s="10"/>
      <c r="CR111" s="10"/>
      <c r="CS111" s="10"/>
      <c r="CT111" s="10"/>
      <c r="CU111" s="10"/>
    </row>
    <row r="112" spans="1:99" ht="13.5" hidden="1" thickBot="1" x14ac:dyDescent="0.25">
      <c r="A112" s="11"/>
      <c r="B112" s="525" t="str">
        <f t="shared" si="41"/>
        <v>-</v>
      </c>
      <c r="C112" s="567">
        <v>80</v>
      </c>
      <c r="D112" s="618"/>
      <c r="E112" s="619"/>
      <c r="F112" s="526"/>
      <c r="G112" s="527"/>
      <c r="H112" s="582"/>
      <c r="I112" s="582"/>
      <c r="J112" s="570"/>
      <c r="K112" s="590"/>
      <c r="L112" s="591"/>
      <c r="M112" s="592"/>
      <c r="N112" s="593"/>
      <c r="O112" s="528" t="str">
        <f t="shared" si="42"/>
        <v/>
      </c>
      <c r="P112" s="529" t="str">
        <f t="shared" si="7"/>
        <v/>
      </c>
      <c r="Q112" s="530">
        <f t="shared" si="43"/>
        <v>0</v>
      </c>
      <c r="R112" s="531">
        <f t="shared" si="44"/>
        <v>0</v>
      </c>
      <c r="S112" s="532">
        <f t="shared" si="45"/>
        <v>0</v>
      </c>
      <c r="T112" s="533" t="str">
        <f t="shared" si="8"/>
        <v/>
      </c>
      <c r="U112" s="11"/>
      <c r="V112" s="12"/>
      <c r="W112" s="10"/>
      <c r="X112" s="10"/>
      <c r="Y112" s="10">
        <v>80</v>
      </c>
      <c r="Z112" s="71" t="str">
        <f t="shared" si="119"/>
        <v>-</v>
      </c>
      <c r="AA112" s="71">
        <f t="shared" si="120"/>
        <v>0</v>
      </c>
      <c r="AB112" s="10"/>
      <c r="AC112" s="136">
        <f t="shared" si="47"/>
        <v>0</v>
      </c>
      <c r="AD112" s="137">
        <f>IF(SUM(AC112:AC$112)=0,0,COUNTA(F112:G112)&gt;0)</f>
        <v>0</v>
      </c>
      <c r="AE112" s="136">
        <f t="shared" si="48"/>
        <v>0</v>
      </c>
      <c r="AF112" s="476">
        <f>IF(SUM(AC112:AC$112)=0,0,AND(AD112=FALSE,AE112=0,SUM(AE$112:AE113)&gt;0))</f>
        <v>0</v>
      </c>
      <c r="AG112" s="154">
        <f t="shared" si="10"/>
        <v>0</v>
      </c>
      <c r="AH112" s="137">
        <f t="shared" si="11"/>
        <v>0</v>
      </c>
      <c r="AI112" s="137">
        <f t="shared" si="12"/>
        <v>0</v>
      </c>
      <c r="AJ112" s="137">
        <f t="shared" si="13"/>
        <v>0</v>
      </c>
      <c r="AK112" s="184">
        <f t="shared" si="14"/>
        <v>0</v>
      </c>
      <c r="AL112" s="137">
        <f t="shared" si="15"/>
        <v>0</v>
      </c>
      <c r="AM112" s="153">
        <f t="shared" si="16"/>
        <v>0</v>
      </c>
      <c r="AN112" s="154">
        <f t="shared" si="17"/>
        <v>0</v>
      </c>
      <c r="AO112" s="137">
        <f t="shared" si="18"/>
        <v>0</v>
      </c>
      <c r="AP112" s="182">
        <f t="shared" si="49"/>
        <v>0</v>
      </c>
      <c r="AQ112" s="154">
        <f t="shared" si="50"/>
        <v>0</v>
      </c>
      <c r="AR112" s="153">
        <f t="shared" si="51"/>
        <v>0</v>
      </c>
      <c r="AS112" s="154">
        <f t="shared" si="19"/>
        <v>0</v>
      </c>
      <c r="AT112" s="137">
        <f t="shared" si="20"/>
        <v>0</v>
      </c>
      <c r="AU112" s="153">
        <f t="shared" si="21"/>
        <v>0</v>
      </c>
      <c r="AV112" s="154">
        <f t="shared" si="22"/>
        <v>0</v>
      </c>
      <c r="AW112" s="137">
        <f t="shared" si="52"/>
        <v>0</v>
      </c>
      <c r="AX112" s="136">
        <f t="shared" si="53"/>
        <v>0</v>
      </c>
      <c r="AY112" s="498" t="str">
        <f t="shared" si="121"/>
        <v/>
      </c>
      <c r="AZ112" s="154">
        <f t="shared" si="23"/>
        <v>0</v>
      </c>
      <c r="BA112" s="137">
        <f t="shared" si="24"/>
        <v>0</v>
      </c>
      <c r="BB112" s="153">
        <f t="shared" si="55"/>
        <v>0</v>
      </c>
      <c r="BC112" s="302" t="b">
        <f t="shared" si="25"/>
        <v>0</v>
      </c>
      <c r="BD112" s="109"/>
      <c r="BE112" s="316">
        <f t="shared" si="56"/>
        <v>0</v>
      </c>
      <c r="BF112" s="317">
        <f t="shared" si="26"/>
        <v>0</v>
      </c>
      <c r="BG112" s="317">
        <f t="shared" si="57"/>
        <v>0</v>
      </c>
      <c r="BH112" s="318">
        <f t="shared" si="27"/>
        <v>0</v>
      </c>
      <c r="BI112" s="310">
        <f t="shared" si="28"/>
        <v>0</v>
      </c>
      <c r="BJ112" s="310">
        <f t="shared" si="58"/>
        <v>0</v>
      </c>
      <c r="BK112" s="171">
        <f t="shared" si="29"/>
        <v>0</v>
      </c>
      <c r="BL112" s="327">
        <f t="shared" si="30"/>
        <v>0</v>
      </c>
      <c r="BM112" s="327">
        <f t="shared" si="31"/>
        <v>0</v>
      </c>
      <c r="BN112" s="327">
        <f t="shared" si="59"/>
        <v>0</v>
      </c>
      <c r="BO112" s="328">
        <f t="shared" si="60"/>
        <v>0</v>
      </c>
      <c r="BP112" s="329">
        <f t="shared" si="32"/>
        <v>0</v>
      </c>
      <c r="BQ112" s="327">
        <f t="shared" si="33"/>
        <v>0</v>
      </c>
      <c r="BR112" s="327">
        <f t="shared" si="61"/>
        <v>0</v>
      </c>
      <c r="BS112" s="328">
        <f t="shared" si="62"/>
        <v>0</v>
      </c>
      <c r="BT112" s="10"/>
      <c r="BU112" s="290">
        <f t="shared" si="34"/>
        <v>0</v>
      </c>
      <c r="BV112" s="291">
        <f t="shared" si="63"/>
        <v>0</v>
      </c>
      <c r="BW112" s="136">
        <f t="shared" si="35"/>
        <v>0</v>
      </c>
      <c r="BX112" s="296">
        <f t="shared" si="36"/>
        <v>0</v>
      </c>
      <c r="BY112" s="297">
        <f t="shared" si="37"/>
        <v>0</v>
      </c>
      <c r="BZ112" s="10"/>
      <c r="CA112" s="192">
        <f t="shared" si="38"/>
        <v>0</v>
      </c>
      <c r="CB112" s="193">
        <f t="shared" si="39"/>
        <v>0</v>
      </c>
      <c r="CC112" s="99">
        <f t="shared" si="64"/>
        <v>0</v>
      </c>
      <c r="CD112" s="300" t="str">
        <f t="shared" si="40"/>
        <v/>
      </c>
      <c r="CE112" s="305"/>
      <c r="CF112" s="10"/>
      <c r="CG112" s="10"/>
      <c r="CH112" s="10"/>
      <c r="CI112" s="10"/>
      <c r="CJ112" s="10"/>
      <c r="CK112" s="10"/>
      <c r="CL112" s="10"/>
      <c r="CM112" s="10"/>
      <c r="CN112" s="10"/>
      <c r="CO112" s="10"/>
      <c r="CP112" s="10"/>
      <c r="CQ112" s="10"/>
      <c r="CR112" s="10"/>
      <c r="CS112" s="10"/>
      <c r="CT112" s="10"/>
      <c r="CU112" s="10"/>
    </row>
    <row r="113" spans="1:99" ht="6" customHeight="1" x14ac:dyDescent="0.2">
      <c r="A113" s="11"/>
      <c r="B113" s="537"/>
      <c r="C113" s="538"/>
      <c r="D113" s="538"/>
      <c r="E113" s="538"/>
      <c r="F113" s="538"/>
      <c r="G113" s="538"/>
      <c r="H113" s="538"/>
      <c r="I113" s="539"/>
      <c r="J113" s="539"/>
      <c r="K113" s="539"/>
      <c r="L113" s="539"/>
      <c r="M113" s="539"/>
      <c r="N113" s="538"/>
      <c r="O113" s="538"/>
      <c r="P113" s="540"/>
      <c r="Q113" s="540"/>
      <c r="R113" s="540"/>
      <c r="S113" s="540"/>
      <c r="T113" s="540"/>
      <c r="U113" s="11"/>
      <c r="V113" s="12"/>
      <c r="W113" s="10"/>
      <c r="X113" s="10"/>
      <c r="Y113" s="10"/>
      <c r="Z113" s="10"/>
      <c r="AA113" s="10"/>
      <c r="AB113" s="10"/>
      <c r="AC113" s="138"/>
      <c r="AD113" s="138"/>
      <c r="AE113" s="138"/>
      <c r="AF113" s="138"/>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row>
    <row r="114" spans="1:99" ht="60" customHeight="1" x14ac:dyDescent="0.2">
      <c r="A114" s="11"/>
      <c r="B114" s="614" t="s">
        <v>253</v>
      </c>
      <c r="C114" s="615"/>
      <c r="D114" s="615"/>
      <c r="E114" s="615"/>
      <c r="F114" s="615"/>
      <c r="G114" s="615"/>
      <c r="H114" s="615"/>
      <c r="I114" s="615"/>
      <c r="J114" s="615"/>
      <c r="K114" s="615"/>
      <c r="L114" s="615"/>
      <c r="M114" s="615"/>
      <c r="N114" s="615"/>
      <c r="O114" s="615"/>
      <c r="P114" s="615"/>
      <c r="Q114" s="455"/>
      <c r="R114" s="11"/>
      <c r="S114" s="456" t="str">
        <f>IF(ShowPass=TRUE,"if inputs are valid","")</f>
        <v/>
      </c>
      <c r="T114" s="383" t="str">
        <f>IF(ShowPass=TRUE,"ü",IF(VisibleFailures&gt;0,"û",""))</f>
        <v/>
      </c>
      <c r="U114" s="11"/>
      <c r="V114" s="12"/>
      <c r="W114" s="10"/>
      <c r="X114" s="10"/>
      <c r="Y114" s="10"/>
      <c r="Z114" s="10"/>
      <c r="AA114" s="10"/>
      <c r="AB114" s="10"/>
      <c r="AC114" s="185" t="s">
        <v>144</v>
      </c>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98"/>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row>
    <row r="115" spans="1:99" x14ac:dyDescent="0.2">
      <c r="A115" s="11"/>
      <c r="B115" s="607" t="s">
        <v>404</v>
      </c>
      <c r="C115" s="355"/>
      <c r="D115" s="355"/>
      <c r="E115" s="355"/>
      <c r="F115" s="355"/>
      <c r="G115" s="355"/>
      <c r="H115" s="355"/>
      <c r="I115" s="355"/>
      <c r="J115" s="355"/>
      <c r="K115" s="355"/>
      <c r="L115" s="355"/>
      <c r="M115" s="355"/>
      <c r="N115" s="355"/>
      <c r="O115" s="355"/>
      <c r="P115" s="355"/>
      <c r="Q115" s="355"/>
      <c r="R115" s="355"/>
      <c r="S115" s="355"/>
      <c r="T115" s="355"/>
      <c r="U115" s="11"/>
      <c r="V115" s="12"/>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row>
    <row r="116" spans="1:99" ht="10.5" customHeight="1" x14ac:dyDescent="0.2">
      <c r="A116" s="10"/>
      <c r="B116" s="10"/>
      <c r="C116" s="12"/>
      <c r="D116" s="12"/>
      <c r="E116" s="12"/>
      <c r="F116" s="12"/>
      <c r="G116" s="12"/>
      <c r="H116" s="12"/>
      <c r="I116" s="12"/>
      <c r="J116" s="12"/>
      <c r="K116" s="12"/>
      <c r="L116" s="12"/>
      <c r="M116" s="12"/>
      <c r="N116" s="12"/>
      <c r="O116" s="12"/>
      <c r="P116" s="12"/>
      <c r="Q116" s="12"/>
      <c r="R116" s="12"/>
      <c r="S116" s="12"/>
      <c r="T116" s="12"/>
      <c r="U116" s="12"/>
      <c r="V116" s="12"/>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row>
    <row r="117" spans="1:99"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row>
    <row r="118" spans="1:99" outlineLevel="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row>
    <row r="119" spans="1:99" outlineLevel="1" x14ac:dyDescent="0.2">
      <c r="A119" s="10"/>
      <c r="B119" s="10"/>
      <c r="C119" s="104"/>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row>
    <row r="120" spans="1:99" outlineLevel="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row>
    <row r="121" spans="1:99" outlineLevel="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row>
    <row r="122" spans="1:99" outlineLevel="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row>
    <row r="123" spans="1:99" outlineLevel="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row>
    <row r="124" spans="1:99" outlineLevel="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row>
    <row r="125" spans="1:99" outlineLevel="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row>
    <row r="126" spans="1:99" outlineLevel="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row>
    <row r="127" spans="1:99" outlineLevel="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row>
    <row r="128" spans="1:99" outlineLevel="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row>
    <row r="129" spans="1:99" outlineLevel="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row>
    <row r="130" spans="1:99" outlineLevel="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row>
    <row r="131" spans="1:99" outlineLevel="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row>
    <row r="132" spans="1:99" outlineLevel="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row>
    <row r="133" spans="1:99" outlineLevel="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row>
    <row r="134" spans="1:99" outlineLevel="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row>
    <row r="135" spans="1:99" outlineLevel="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row>
    <row r="136" spans="1:99" outlineLevel="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row>
    <row r="137" spans="1:99" outlineLevel="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row>
    <row r="138" spans="1:99" outlineLevel="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row>
    <row r="139" spans="1:99" outlineLevel="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row>
    <row r="140" spans="1:99" outlineLevel="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row>
    <row r="141" spans="1:99" outlineLevel="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row>
    <row r="142" spans="1:99" outlineLevel="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row>
    <row r="143" spans="1:99"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row>
    <row r="144" spans="1:99" hidden="1" outlineLevel="1" x14ac:dyDescent="0.2">
      <c r="A144" s="10"/>
      <c r="B144" s="139" t="s">
        <v>346</v>
      </c>
      <c r="C144" s="139"/>
      <c r="D144" s="139"/>
      <c r="E144" s="139"/>
      <c r="F144" s="68" t="s">
        <v>207</v>
      </c>
      <c r="G144" s="203"/>
      <c r="H144" s="204"/>
      <c r="I144" s="205" t="s">
        <v>175</v>
      </c>
      <c r="J144" s="68" t="s">
        <v>337</v>
      </c>
      <c r="K144" s="204"/>
      <c r="L144" s="204"/>
      <c r="M144" s="204"/>
      <c r="N144" s="204"/>
      <c r="O144" s="351"/>
      <c r="P144" s="204"/>
      <c r="Q144" s="204"/>
      <c r="R144" s="204"/>
      <c r="S144" s="204"/>
      <c r="T144" s="204"/>
      <c r="U144" s="20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row>
    <row r="145" spans="1:99" hidden="1" outlineLevel="1" x14ac:dyDescent="0.2">
      <c r="A145" s="10"/>
      <c r="B145" s="10"/>
      <c r="C145" s="10"/>
      <c r="D145" s="10"/>
      <c r="E145" s="459" t="s">
        <v>335</v>
      </c>
      <c r="F145" s="384" t="b">
        <f>AND(ISBLANK(Building),COUNTA(TableInputs)=0)</f>
        <v>1</v>
      </c>
      <c r="G145" s="385"/>
      <c r="H145" s="386"/>
      <c r="I145" s="386"/>
      <c r="J145" s="501" t="str">
        <f>IF(F145=TRUE,"1.  Enter a description below of the building and the particular part(s) covered by this assessment.","")</f>
        <v>1.  Enter a description below of the building and the particular part(s) covered by this assessment.</v>
      </c>
      <c r="K145" s="402"/>
      <c r="L145" s="386"/>
      <c r="M145" s="386"/>
      <c r="N145" s="386"/>
      <c r="O145" s="387"/>
      <c r="P145" s="386"/>
      <c r="Q145" s="386"/>
      <c r="R145" s="386"/>
      <c r="S145" s="386"/>
      <c r="T145" s="386"/>
      <c r="U145" s="386"/>
      <c r="V145" s="10"/>
      <c r="W145" s="10"/>
      <c r="X145" s="10"/>
      <c r="Y145" s="10"/>
      <c r="Z145" s="104"/>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row>
    <row r="146" spans="1:99" hidden="1" outlineLevel="1" x14ac:dyDescent="0.2">
      <c r="A146" s="10"/>
      <c r="B146" s="10"/>
      <c r="C146" s="10"/>
      <c r="D146" s="10"/>
      <c r="E146" s="459" t="s">
        <v>334</v>
      </c>
      <c r="F146" s="388" t="b">
        <f>AND(ISBLANK(Building),COUNTA(TableInputs)&gt;0)</f>
        <v>0</v>
      </c>
      <c r="G146" s="389"/>
      <c r="H146" s="390"/>
      <c r="I146" s="390"/>
      <c r="J146" s="556" t="str">
        <f>IF(F146=TRUE,"No building description","")</f>
        <v/>
      </c>
      <c r="K146" s="403"/>
      <c r="L146" s="389"/>
      <c r="M146" s="390"/>
      <c r="N146" s="390"/>
      <c r="O146" s="391"/>
      <c r="P146" s="390"/>
      <c r="Q146" s="390"/>
      <c r="R146" s="390"/>
      <c r="S146" s="390"/>
      <c r="T146" s="390"/>
      <c r="U146" s="39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row>
    <row r="147" spans="1:99" hidden="1" outlineLevel="1" x14ac:dyDescent="0.2">
      <c r="A147" s="10"/>
      <c r="B147" s="10"/>
      <c r="C147" s="10"/>
      <c r="D147" s="10"/>
      <c r="E147" s="459" t="s">
        <v>332</v>
      </c>
      <c r="F147" s="388" t="b">
        <f>AND(Building&gt;0,ISBLANK(Application),COUNTA(TableInputs)=0)</f>
        <v>0</v>
      </c>
      <c r="G147" s="394"/>
      <c r="H147" s="390"/>
      <c r="I147" s="390"/>
      <c r="J147" s="502" t="str">
        <f>IF(F147=TRUE,"2. Enter Application","")</f>
        <v/>
      </c>
      <c r="K147" s="404"/>
      <c r="L147" s="389"/>
      <c r="M147" s="390"/>
      <c r="N147" s="390"/>
      <c r="O147" s="391"/>
      <c r="P147" s="390"/>
      <c r="Q147" s="390"/>
      <c r="R147" s="390"/>
      <c r="S147" s="390"/>
      <c r="T147" s="390"/>
      <c r="U147" s="39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row>
    <row r="148" spans="1:99" hidden="1" outlineLevel="1" x14ac:dyDescent="0.2">
      <c r="A148" s="10"/>
      <c r="B148" s="10"/>
      <c r="C148" s="10"/>
      <c r="D148" s="10"/>
      <c r="E148" s="459" t="s">
        <v>333</v>
      </c>
      <c r="F148" s="388" t="b">
        <f>AND(ISBLANK(Application),COUNTA(TableInputs)&gt;0)</f>
        <v>0</v>
      </c>
      <c r="G148" s="394"/>
      <c r="H148" s="390"/>
      <c r="I148" s="390"/>
      <c r="J148" s="557" t="str">
        <f>IF(F148=TRUE,"  No Application","")</f>
        <v/>
      </c>
      <c r="K148" s="405"/>
      <c r="L148" s="389"/>
      <c r="M148" s="390"/>
      <c r="N148" s="390"/>
      <c r="O148" s="391"/>
      <c r="P148" s="390"/>
      <c r="Q148" s="390"/>
      <c r="R148" s="390"/>
      <c r="S148" s="390"/>
      <c r="T148" s="390"/>
      <c r="U148" s="39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row>
    <row r="149" spans="1:99" hidden="1" outlineLevel="1" x14ac:dyDescent="0.2">
      <c r="A149" s="10"/>
      <c r="B149" s="206"/>
      <c r="C149" s="206"/>
      <c r="D149" s="10"/>
      <c r="E149" s="459" t="s">
        <v>339</v>
      </c>
      <c r="F149" s="388" t="b">
        <f>AND(COUNTA(Building,Application)=2,ISBLANK(Zone),COUNTA(TableInputs)=0)</f>
        <v>0</v>
      </c>
      <c r="G149" s="395"/>
      <c r="H149" s="390"/>
      <c r="I149" s="390"/>
      <c r="J149" s="503" t="str">
        <f>IF(F149=TRUE,"3. Enter zone","")</f>
        <v/>
      </c>
      <c r="K149" s="406"/>
      <c r="L149" s="396"/>
      <c r="M149" s="390"/>
      <c r="N149" s="390"/>
      <c r="O149" s="391"/>
      <c r="P149" s="390"/>
      <c r="Q149" s="390"/>
      <c r="R149" s="390"/>
      <c r="S149" s="390"/>
      <c r="T149" s="390"/>
      <c r="U149" s="39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row>
    <row r="150" spans="1:99" hidden="1" outlineLevel="1" x14ac:dyDescent="0.2">
      <c r="A150" s="10"/>
      <c r="B150" s="206"/>
      <c r="C150" s="206"/>
      <c r="D150" s="10"/>
      <c r="E150" s="459" t="s">
        <v>336</v>
      </c>
      <c r="F150" s="388" t="b">
        <f>AND(ISBLANK(Zone),COUNTA(TableInputs)&gt;0)</f>
        <v>0</v>
      </c>
      <c r="G150" s="390"/>
      <c r="H150" s="390"/>
      <c r="I150" s="390"/>
      <c r="J150" s="558" t="str">
        <f>IF(NoZoneTableActive=TRUE," No zone          ","")</f>
        <v/>
      </c>
      <c r="K150" s="407"/>
      <c r="L150" s="396"/>
      <c r="M150" s="390"/>
      <c r="N150" s="390"/>
      <c r="O150" s="391"/>
      <c r="P150" s="390"/>
      <c r="Q150" s="390"/>
      <c r="R150" s="390"/>
      <c r="S150" s="390"/>
      <c r="T150" s="390"/>
      <c r="U150" s="39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row>
    <row r="151" spans="1:99" hidden="1" outlineLevel="1" x14ac:dyDescent="0.2">
      <c r="A151" s="10"/>
      <c r="B151" s="206"/>
      <c r="C151" s="206"/>
      <c r="D151" s="10"/>
      <c r="E151" s="140"/>
      <c r="F151" s="392" t="s">
        <v>208</v>
      </c>
      <c r="G151" s="392"/>
      <c r="H151" s="390"/>
      <c r="I151" s="393"/>
      <c r="J151" s="389"/>
      <c r="K151" s="390"/>
      <c r="L151" s="389"/>
      <c r="M151" s="390"/>
      <c r="N151" s="390"/>
      <c r="O151" s="391"/>
      <c r="P151" s="390"/>
      <c r="Q151" s="390"/>
      <c r="R151" s="390"/>
      <c r="S151" s="390"/>
      <c r="T151" s="390"/>
      <c r="U151" s="39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row>
    <row r="152" spans="1:99" hidden="1" outlineLevel="1" x14ac:dyDescent="0.2">
      <c r="A152" s="10"/>
      <c r="B152" s="10"/>
      <c r="C152" s="10"/>
      <c r="D152" s="10"/>
      <c r="E152" s="459" t="s">
        <v>313</v>
      </c>
      <c r="F152" s="388" t="b">
        <f>AND(COUNTA(Building,Application,Zone)=3,ISBLANK(Storey),COUNTA(TableInputs)=0)</f>
        <v>0</v>
      </c>
      <c r="G152" s="394"/>
      <c r="H152" s="390"/>
      <c r="I152" s="390"/>
      <c r="J152" s="502" t="str">
        <f>IF(F152=TRUE,"4. Enter Storey","")</f>
        <v/>
      </c>
      <c r="K152" s="404"/>
      <c r="L152" s="396"/>
      <c r="M152" s="390"/>
      <c r="N152" s="390"/>
      <c r="O152" s="391"/>
      <c r="P152" s="390"/>
      <c r="Q152" s="390"/>
      <c r="R152" s="390"/>
      <c r="S152" s="390"/>
      <c r="T152" s="390"/>
      <c r="U152" s="39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row>
    <row r="153" spans="1:99" hidden="1" outlineLevel="1" x14ac:dyDescent="0.2">
      <c r="A153" s="10"/>
      <c r="B153" s="10"/>
      <c r="C153" s="10"/>
      <c r="D153" s="10"/>
      <c r="E153" s="459" t="s">
        <v>314</v>
      </c>
      <c r="F153" s="388" t="b">
        <f>AND(COUNTA(TableInputs)&gt;0,ISBLANK(Storey))</f>
        <v>0</v>
      </c>
      <c r="G153" s="394"/>
      <c r="H153" s="390"/>
      <c r="I153" s="390"/>
      <c r="J153" s="559" t="str">
        <f>IF(F153=TRUE,"No Storey","")</f>
        <v/>
      </c>
      <c r="K153" s="405"/>
      <c r="L153" s="396"/>
      <c r="M153" s="390"/>
      <c r="N153" s="390"/>
      <c r="O153" s="391"/>
      <c r="P153" s="390"/>
      <c r="Q153" s="390"/>
      <c r="R153" s="390"/>
      <c r="S153" s="390"/>
      <c r="T153" s="390"/>
      <c r="U153" s="39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row>
    <row r="154" spans="1:99" hidden="1" outlineLevel="1" x14ac:dyDescent="0.2">
      <c r="A154" s="10"/>
      <c r="B154" s="10"/>
      <c r="C154" s="10"/>
      <c r="D154" s="10"/>
      <c r="E154" s="459" t="s">
        <v>342</v>
      </c>
      <c r="F154" s="397" t="b">
        <f>AND(COUNTA(Building,Application,Zone,Storey)=4,EmptyA=TRUE,EmptyB=TRUE,COUNTA(TableInputs)=0)</f>
        <v>0</v>
      </c>
      <c r="G154" s="398"/>
      <c r="H154" s="398"/>
      <c r="I154" s="398"/>
      <c r="J154" s="505" t="str">
        <f>IF(First4Inputs=TRUE," 4.  Enter facade area(s) in relevant columns and rows below","")</f>
        <v/>
      </c>
      <c r="K154" s="408"/>
      <c r="L154" s="398"/>
      <c r="M154" s="398"/>
      <c r="N154" s="398"/>
      <c r="O154" s="399"/>
      <c r="P154" s="398"/>
      <c r="Q154" s="398"/>
      <c r="R154" s="398"/>
      <c r="S154" s="398"/>
      <c r="T154" s="398"/>
      <c r="U154" s="398"/>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row>
    <row r="155" spans="1:99" hidden="1" outlineLevel="1" x14ac:dyDescent="0.2">
      <c r="A155" s="10"/>
      <c r="B155" s="10"/>
      <c r="C155" s="10"/>
      <c r="D155" s="10"/>
      <c r="E155" s="10"/>
      <c r="F155" s="208" t="s">
        <v>340</v>
      </c>
      <c r="G155" s="208"/>
      <c r="H155" s="208"/>
      <c r="I155" s="210"/>
      <c r="J155" s="210"/>
      <c r="K155" s="208"/>
      <c r="L155" s="208"/>
      <c r="M155" s="208"/>
      <c r="N155" s="208"/>
      <c r="O155" s="208"/>
      <c r="P155" s="208"/>
      <c r="Q155" s="208"/>
      <c r="R155" s="208"/>
      <c r="S155" s="208"/>
      <c r="T155" s="208"/>
      <c r="U155" s="208"/>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row>
    <row r="156" spans="1:99" hidden="1" outlineLevel="1" x14ac:dyDescent="0.2">
      <c r="A156" s="10"/>
      <c r="B156" s="10"/>
      <c r="C156" s="10"/>
      <c r="D156" s="10"/>
      <c r="E156" s="10"/>
      <c r="F156" s="10"/>
      <c r="G156" s="10"/>
      <c r="H156" s="10"/>
      <c r="I156" s="10"/>
      <c r="J156" s="98"/>
      <c r="K156" s="98"/>
      <c r="L156" s="98"/>
      <c r="M156" s="98"/>
      <c r="N156" s="98"/>
      <c r="O156" s="98"/>
      <c r="P156" s="98"/>
      <c r="Q156" s="98"/>
      <c r="R156" s="98"/>
      <c r="S156" s="98"/>
      <c r="T156" s="98"/>
      <c r="U156" s="98"/>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row>
    <row r="157" spans="1:99" hidden="1" outlineLevel="1" x14ac:dyDescent="0.2">
      <c r="A157" s="10"/>
      <c r="B157" s="139" t="s">
        <v>213</v>
      </c>
      <c r="C157" s="139"/>
      <c r="D157" s="139"/>
      <c r="E157" s="139"/>
      <c r="F157" s="68" t="s">
        <v>214</v>
      </c>
      <c r="G157" s="68" t="s">
        <v>215</v>
      </c>
      <c r="H157" s="211"/>
      <c r="I157" s="211"/>
      <c r="J157" s="212"/>
      <c r="K157" s="213"/>
      <c r="L157" s="10"/>
      <c r="M157" s="10"/>
      <c r="N157" s="10"/>
      <c r="O157" s="214"/>
      <c r="P157" s="214"/>
      <c r="Q157" s="214"/>
      <c r="R157" s="214"/>
      <c r="S157" s="214"/>
      <c r="T157" s="214"/>
      <c r="U157" s="214"/>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row>
    <row r="158" spans="1:99" hidden="1" outlineLevel="1" x14ac:dyDescent="0.2">
      <c r="A158" s="10"/>
      <c r="B158" s="10"/>
      <c r="C158" s="10"/>
      <c r="D158" s="10"/>
      <c r="E158" s="140" t="s">
        <v>341</v>
      </c>
      <c r="F158" s="400" t="b">
        <f>NumberActive=0</f>
        <v>1</v>
      </c>
      <c r="G158" s="400" t="b">
        <f>NumberActiveLowR=0</f>
        <v>1</v>
      </c>
      <c r="H158" s="215"/>
      <c r="I158" s="216"/>
      <c r="J158" s="217" t="s">
        <v>344</v>
      </c>
      <c r="K158" s="228"/>
      <c r="L158" s="73"/>
      <c r="M158" s="73"/>
      <c r="N158" s="73"/>
      <c r="O158" s="141"/>
      <c r="P158" s="141"/>
      <c r="Q158" s="141"/>
      <c r="R158" s="141"/>
      <c r="S158" s="141"/>
      <c r="T158" s="141"/>
      <c r="U158" s="141"/>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row>
    <row r="159" spans="1:99" hidden="1" outlineLevel="1" x14ac:dyDescent="0.2">
      <c r="A159" s="10"/>
      <c r="B159" s="10"/>
      <c r="C159" s="10"/>
      <c r="D159" s="10"/>
      <c r="E159" s="140"/>
      <c r="F159" s="218" t="s">
        <v>209</v>
      </c>
      <c r="G159" s="218" t="s">
        <v>210</v>
      </c>
      <c r="H159" s="219"/>
      <c r="I159" s="220"/>
      <c r="J159" s="220"/>
      <c r="K159" s="221"/>
      <c r="L159" s="222"/>
      <c r="M159" s="222"/>
      <c r="N159" s="222"/>
      <c r="O159" s="222"/>
      <c r="P159" s="222"/>
      <c r="Q159" s="222"/>
      <c r="R159" s="222"/>
      <c r="S159" s="222"/>
      <c r="T159" s="222"/>
      <c r="U159" s="222"/>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row>
    <row r="160" spans="1:99" hidden="1" outlineLevel="1" x14ac:dyDescent="0.2">
      <c r="A160" s="10"/>
      <c r="B160" s="10"/>
      <c r="C160" s="10"/>
      <c r="D160" s="10"/>
      <c r="E160" s="140" t="s">
        <v>343</v>
      </c>
      <c r="F160" s="401" t="b">
        <f>NumberActive&gt;0</f>
        <v>0</v>
      </c>
      <c r="G160" s="401" t="b">
        <f>NumberActiveLowR&gt;0</f>
        <v>0</v>
      </c>
      <c r="H160" s="224"/>
      <c r="I160" s="225"/>
      <c r="J160" s="207" t="s">
        <v>211</v>
      </c>
      <c r="K160" s="226"/>
      <c r="L160" s="10"/>
      <c r="M160" s="10"/>
      <c r="N160" s="10"/>
      <c r="O160" s="227"/>
      <c r="P160" s="227"/>
      <c r="Q160" s="227"/>
      <c r="R160" s="227"/>
      <c r="S160" s="227"/>
      <c r="T160" s="227"/>
      <c r="U160" s="227"/>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row>
    <row r="161" spans="1:99" hidden="1" outlineLevel="1" x14ac:dyDescent="0.2">
      <c r="A161" s="10"/>
      <c r="B161" s="10"/>
      <c r="C161" s="10"/>
      <c r="D161" s="10"/>
      <c r="E161" s="140"/>
      <c r="F161" s="218" t="s">
        <v>189</v>
      </c>
      <c r="G161" s="218" t="s">
        <v>191</v>
      </c>
      <c r="H161" s="219"/>
      <c r="I161" s="220"/>
      <c r="J161" s="220"/>
      <c r="K161" s="221"/>
      <c r="L161" s="221"/>
      <c r="M161" s="221"/>
      <c r="N161" s="221"/>
      <c r="O161" s="222"/>
      <c r="P161" s="222"/>
      <c r="Q161" s="222"/>
      <c r="R161" s="222"/>
      <c r="S161" s="222"/>
      <c r="T161" s="222"/>
      <c r="U161" s="222"/>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row>
    <row r="162" spans="1:99" hidden="1" outlineLevel="1" x14ac:dyDescent="0.2">
      <c r="A162" s="10"/>
      <c r="B162" s="10"/>
      <c r="C162" s="10"/>
      <c r="D162" s="10"/>
      <c r="E162" s="140" t="s">
        <v>345</v>
      </c>
      <c r="F162" s="397" t="b">
        <f>AND(COUNTA(Building,Application,Zone,Storey)=4,COUNT(F23:M24)&gt;0,COUNTA(TableInputs)=0)</f>
        <v>0</v>
      </c>
      <c r="G162" s="224"/>
      <c r="H162" s="224"/>
      <c r="I162" s="10"/>
      <c r="J162" s="504" t="str">
        <f>IF(AND(TopInputsOK=TRUE,TableEntries&gt;=RowsActive),"ENTER GLAZING DETAILS IN THIS TABLE. Use input above table and arrow at 'ID' to alter the number of rows.","")</f>
        <v/>
      </c>
      <c r="K162" s="226"/>
      <c r="L162" s="10"/>
      <c r="M162" s="10"/>
      <c r="N162" s="10"/>
      <c r="O162" s="227"/>
      <c r="P162" s="227"/>
      <c r="Q162" s="227"/>
      <c r="R162" s="227"/>
      <c r="S162" s="227"/>
      <c r="T162" s="227"/>
      <c r="U162" s="227"/>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row>
    <row r="163" spans="1:99" hidden="1" outlineLevel="1" x14ac:dyDescent="0.2">
      <c r="A163" s="10"/>
      <c r="B163" s="10"/>
      <c r="C163" s="10"/>
      <c r="D163" s="206"/>
      <c r="E163" s="206"/>
      <c r="F163" s="218" t="s">
        <v>212</v>
      </c>
      <c r="G163" s="219"/>
      <c r="H163" s="219"/>
      <c r="I163" s="220"/>
      <c r="J163" s="223"/>
      <c r="K163" s="221"/>
      <c r="L163" s="221"/>
      <c r="M163" s="221"/>
      <c r="N163" s="221"/>
      <c r="O163" s="222"/>
      <c r="P163" s="222"/>
      <c r="Q163" s="222"/>
      <c r="R163" s="222"/>
      <c r="S163" s="222"/>
      <c r="T163" s="222"/>
      <c r="U163" s="222"/>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row>
    <row r="164" spans="1:99" hidden="1" outlineLevel="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row>
    <row r="165" spans="1:99" hidden="1" outlineLevel="1" x14ac:dyDescent="0.2">
      <c r="A165" s="10"/>
      <c r="B165" s="139" t="s">
        <v>146</v>
      </c>
      <c r="C165" s="139"/>
      <c r="D165" s="139"/>
      <c r="E165" s="139"/>
      <c r="F165" s="139"/>
      <c r="G165" s="139"/>
      <c r="H165" s="139"/>
      <c r="I165" s="139"/>
      <c r="J165" s="139"/>
      <c r="K165" s="139"/>
      <c r="L165" s="139"/>
      <c r="M165" s="139"/>
      <c r="N165" s="139"/>
      <c r="O165" s="139"/>
      <c r="P165" s="139"/>
      <c r="Q165" s="139"/>
      <c r="R165" s="139"/>
      <c r="S165" s="139"/>
      <c r="T165" s="139"/>
      <c r="U165" s="139"/>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row>
    <row r="166" spans="1:99" hidden="1" outlineLevel="1" x14ac:dyDescent="0.2">
      <c r="A166" s="10"/>
      <c r="B166" s="10"/>
      <c r="C166" s="10"/>
      <c r="D166" s="10"/>
      <c r="E166" s="140" t="s">
        <v>147</v>
      </c>
      <c r="F166" s="161">
        <f>COUNT(Rows)</f>
        <v>80</v>
      </c>
      <c r="G166" s="127" t="s">
        <v>148</v>
      </c>
      <c r="H166" s="75"/>
      <c r="I166" s="75"/>
      <c r="J166" s="75"/>
      <c r="K166" s="10"/>
      <c r="L166" s="10"/>
      <c r="M166" s="10"/>
      <c r="N166" s="75"/>
      <c r="O166" s="75"/>
      <c r="P166" s="141"/>
      <c r="Q166" s="141"/>
      <c r="R166" s="141"/>
      <c r="S166" s="141"/>
      <c r="T166" s="141"/>
      <c r="U166" s="141"/>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row>
    <row r="167" spans="1:99" hidden="1" outlineLevel="1" x14ac:dyDescent="0.2">
      <c r="A167" s="10"/>
      <c r="B167" s="10"/>
      <c r="C167" s="10"/>
      <c r="D167" s="10"/>
      <c r="E167" s="140" t="s">
        <v>149</v>
      </c>
      <c r="F167" s="161">
        <f>SUBTOTAL(2,Rows)</f>
        <v>10</v>
      </c>
      <c r="G167" s="127" t="s">
        <v>150</v>
      </c>
      <c r="H167" s="75"/>
      <c r="I167" s="75"/>
      <c r="J167" s="75"/>
      <c r="K167" s="10"/>
      <c r="L167" s="10"/>
      <c r="M167" s="10"/>
      <c r="N167" s="75"/>
      <c r="O167" s="75"/>
      <c r="P167" s="141"/>
      <c r="Q167" s="141"/>
      <c r="R167" s="141"/>
      <c r="S167" s="141"/>
      <c r="T167" s="141"/>
      <c r="U167" s="141"/>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row>
    <row r="168" spans="1:99" hidden="1" outlineLevel="1" x14ac:dyDescent="0.2">
      <c r="A168" s="10"/>
      <c r="B168" s="10"/>
      <c r="C168" s="10"/>
      <c r="D168" s="10"/>
      <c r="E168" s="142" t="s">
        <v>151</v>
      </c>
      <c r="F168" s="161">
        <f>SUBTOTAL(9,AA33:AA112)</f>
        <v>0</v>
      </c>
      <c r="G168" s="127" t="s">
        <v>152</v>
      </c>
      <c r="H168" s="10"/>
      <c r="I168" s="10"/>
      <c r="J168" s="10"/>
      <c r="K168" s="10"/>
      <c r="L168" s="10"/>
      <c r="M168" s="10"/>
      <c r="N168" s="10"/>
      <c r="O168" s="10"/>
      <c r="P168" s="141"/>
      <c r="Q168" s="141"/>
      <c r="R168" s="141"/>
      <c r="S168" s="141"/>
      <c r="T168" s="141"/>
      <c r="U168" s="141"/>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row>
    <row r="169" spans="1:99" hidden="1" outlineLevel="1" x14ac:dyDescent="0.2">
      <c r="A169" s="10"/>
      <c r="B169" s="10"/>
      <c r="C169" s="10"/>
      <c r="D169" s="10"/>
      <c r="E169" s="142" t="s">
        <v>153</v>
      </c>
      <c r="F169" s="411">
        <f>RowsActive-ActiveDisplayed</f>
        <v>0</v>
      </c>
      <c r="G169" s="143" t="s">
        <v>154</v>
      </c>
      <c r="H169" s="10"/>
      <c r="I169" s="10"/>
      <c r="J169" s="497" t="str">
        <f>IF(ActiveHidden&lt;&gt;0,ActiveHidden&amp;" row"&amp;IF(ActiveHidden=1,"","s")&amp;" containing glazing details "&amp;IF(ActiveHidden=1,"is","are")&amp;" hidden.
(Use input above and arrow at left to display at least "&amp;LastActive&amp;" row"&amp;IF(LastActive=1,".)","s.)"),"")</f>
        <v/>
      </c>
      <c r="K169" s="10"/>
      <c r="L169" s="10"/>
      <c r="M169" s="10"/>
      <c r="N169" s="10"/>
      <c r="O169" s="10"/>
      <c r="P169" s="141"/>
      <c r="Q169" s="141"/>
      <c r="R169" s="141"/>
      <c r="S169" s="141"/>
      <c r="T169" s="141"/>
      <c r="U169" s="141"/>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row>
    <row r="170" spans="1:99" hidden="1" outlineLevel="1" x14ac:dyDescent="0.2">
      <c r="A170" s="10"/>
      <c r="B170" s="10"/>
      <c r="C170" s="10"/>
      <c r="D170" s="10"/>
      <c r="E170" s="140" t="s">
        <v>349</v>
      </c>
      <c r="F170" s="412" t="b">
        <f>AND(COUNTA(Building,Application,Zone,Storey)=4,ActiveDisplayed&gt;0,ActiveHidden=0)</f>
        <v>0</v>
      </c>
      <c r="G170" s="143" t="s">
        <v>350</v>
      </c>
      <c r="H170" s="10"/>
      <c r="I170" s="10"/>
      <c r="J170" s="66" t="s">
        <v>202</v>
      </c>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row>
    <row r="171" spans="1:99" hidden="1" outlineLevel="1" x14ac:dyDescent="0.2">
      <c r="A171" s="10"/>
      <c r="B171" s="10"/>
      <c r="C171" s="10"/>
      <c r="D171" s="10"/>
      <c r="E171" s="10"/>
      <c r="F171" s="10"/>
      <c r="G171" s="10"/>
      <c r="H171" s="10"/>
      <c r="I171" s="10"/>
      <c r="J171" s="66"/>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row>
    <row r="172" spans="1:99" hidden="1" outlineLevel="1" x14ac:dyDescent="0.2">
      <c r="A172" s="10"/>
      <c r="B172" s="10"/>
      <c r="C172" s="10"/>
      <c r="D172" s="10"/>
      <c r="E172" s="10"/>
      <c r="F172" s="10"/>
      <c r="G172" s="10"/>
      <c r="H172" s="10"/>
      <c r="I172" s="10"/>
      <c r="J172" s="66"/>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row>
    <row r="173" spans="1:99" collapsed="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row>
    <row r="174" spans="1:99" hidden="1" outlineLevel="1" x14ac:dyDescent="0.2">
      <c r="A174" s="10"/>
      <c r="B174" s="139" t="s">
        <v>216</v>
      </c>
      <c r="C174" s="229"/>
      <c r="D174" s="229"/>
      <c r="E174" s="229"/>
      <c r="F174" s="229"/>
      <c r="G174" s="229"/>
      <c r="H174" s="229"/>
      <c r="I174" s="229"/>
      <c r="J174" s="229"/>
      <c r="K174" s="229"/>
      <c r="L174" s="229"/>
      <c r="M174" s="229"/>
      <c r="N174" s="229"/>
      <c r="O174" s="229"/>
      <c r="P174" s="229"/>
      <c r="Q174" s="229"/>
      <c r="R174" s="229"/>
      <c r="S174" s="229"/>
      <c r="T174" s="229"/>
      <c r="U174" s="229"/>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row>
    <row r="175" spans="1:99" hidden="1" outlineLevel="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row>
    <row r="176" spans="1:99" ht="13.5" hidden="1" outlineLevel="1" thickBot="1" x14ac:dyDescent="0.25">
      <c r="A176" s="10"/>
      <c r="B176" s="206" t="s">
        <v>217</v>
      </c>
      <c r="C176" s="98"/>
      <c r="D176" s="98"/>
      <c r="E176" s="98"/>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row>
    <row r="177" spans="1:99" hidden="1" outlineLevel="1" x14ac:dyDescent="0.2">
      <c r="A177" s="10"/>
      <c r="B177" s="10"/>
      <c r="C177" s="10"/>
      <c r="D177" s="10"/>
      <c r="E177" s="96" t="s">
        <v>218</v>
      </c>
      <c r="F177" s="236">
        <v>1</v>
      </c>
      <c r="G177" s="237">
        <v>2</v>
      </c>
      <c r="H177" s="237">
        <v>3</v>
      </c>
      <c r="I177" s="237">
        <v>4</v>
      </c>
      <c r="J177" s="237">
        <v>5</v>
      </c>
      <c r="K177" s="237">
        <v>6</v>
      </c>
      <c r="L177" s="237">
        <v>7</v>
      </c>
      <c r="M177" s="237">
        <v>8</v>
      </c>
      <c r="N177" s="441">
        <v>9</v>
      </c>
      <c r="O177" s="68" t="s">
        <v>102</v>
      </c>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row>
    <row r="178" spans="1:99" hidden="1" outlineLevel="1" x14ac:dyDescent="0.2">
      <c r="A178" s="10"/>
      <c r="B178" s="10"/>
      <c r="C178" s="10"/>
      <c r="D178" s="10"/>
      <c r="E178" s="188" t="s">
        <v>221</v>
      </c>
      <c r="F178" s="238" t="str">
        <f t="shared" ref="F178:N178" si="122">IF(F23&gt;0,F177,"-")</f>
        <v>-</v>
      </c>
      <c r="G178" s="239" t="str">
        <f t="shared" si="122"/>
        <v>-</v>
      </c>
      <c r="H178" s="239" t="str">
        <f t="shared" si="122"/>
        <v>-</v>
      </c>
      <c r="I178" s="239" t="str">
        <f t="shared" si="122"/>
        <v>-</v>
      </c>
      <c r="J178" s="239" t="str">
        <f t="shared" si="122"/>
        <v>-</v>
      </c>
      <c r="K178" s="239" t="str">
        <f t="shared" si="122"/>
        <v>-</v>
      </c>
      <c r="L178" s="239" t="str">
        <f t="shared" si="122"/>
        <v>-</v>
      </c>
      <c r="M178" s="239" t="str">
        <f t="shared" si="122"/>
        <v>-</v>
      </c>
      <c r="N178" s="240" t="str">
        <f t="shared" si="122"/>
        <v>-</v>
      </c>
      <c r="O178" s="89">
        <f>COUNT(F178:N178)</f>
        <v>0</v>
      </c>
      <c r="P178" s="125" t="s">
        <v>188</v>
      </c>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row>
    <row r="179" spans="1:99" hidden="1" outlineLevel="1" x14ac:dyDescent="0.2">
      <c r="A179" s="10"/>
      <c r="B179" s="10"/>
      <c r="C179" s="10"/>
      <c r="D179" s="10"/>
      <c r="E179" s="188" t="s">
        <v>223</v>
      </c>
      <c r="F179" s="230" t="str">
        <f>IF(ISERR(INDEX(Orientations,1,SMALL(Calculator!$F178:$N178,F177))),"",INDEX(Orientations,1,SMALL(Calculator!$F178:$N178,F177)))</f>
        <v/>
      </c>
      <c r="G179" s="231" t="str">
        <f>IF(ISERR(INDEX(Orientations,1,SMALL(Calculator!$F178:$N178,G177))),"",INDEX(Orientations,1,SMALL(Calculator!$F178:$N178,G177)))</f>
        <v/>
      </c>
      <c r="H179" s="231" t="str">
        <f>IF(ISERR(INDEX(Orientations,1,SMALL(Calculator!$F178:$N178,H177))),"",INDEX(Orientations,1,SMALL(Calculator!$F178:$N178,H177)))</f>
        <v/>
      </c>
      <c r="I179" s="231" t="str">
        <f>IF(ISERR(INDEX(Orientations,1,SMALL(Calculator!$F178:$N178,I177))),"",INDEX(Orientations,1,SMALL(Calculator!$F178:$N178,I177)))</f>
        <v/>
      </c>
      <c r="J179" s="231" t="str">
        <f>IF(ISERR(INDEX(Orientations,1,SMALL(Calculator!$F178:$N178,J177))),"",INDEX(Orientations,1,SMALL(Calculator!$F178:$N178,J177)))</f>
        <v/>
      </c>
      <c r="K179" s="231" t="str">
        <f>IF(ISERR(INDEX(Orientations,1,SMALL(Calculator!$F178:$N178,K177))),"",INDEX(Orientations,1,SMALL(Calculator!$F178:$N178,K177)))</f>
        <v/>
      </c>
      <c r="L179" s="231" t="str">
        <f>IF(ISERR(INDEX(Orientations,1,SMALL(Calculator!$F178:$N178,L177))),"",INDEX(Orientations,1,SMALL(Calculator!$F178:$N178,L177)))</f>
        <v/>
      </c>
      <c r="M179" s="231" t="str">
        <f>IF(ISERR(INDEX(Orientations,1,SMALL(Calculator!$F178:$N178,M177))),"",INDEX(Orientations,1,SMALL(Calculator!$F178:$N178,M177)))</f>
        <v/>
      </c>
      <c r="N179" s="232" t="str">
        <f>IF(ISERR(INDEX(Orientations,1,SMALL(Calculator!$F178:$N178,N177))),"",INDEX(Orientations,1,SMALL(Calculator!$F178:$N178,N177)))</f>
        <v/>
      </c>
      <c r="O179" s="125" t="s">
        <v>227</v>
      </c>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row>
    <row r="180" spans="1:99" hidden="1" outlineLevel="1" x14ac:dyDescent="0.2">
      <c r="A180" s="10"/>
      <c r="B180" s="10"/>
      <c r="C180" s="10"/>
      <c r="D180" s="10"/>
      <c r="E180" s="96" t="s">
        <v>219</v>
      </c>
      <c r="F180" s="233" t="str">
        <f>F179</f>
        <v/>
      </c>
      <c r="G180" s="234" t="str">
        <f t="shared" ref="G180:M180" si="123">G179</f>
        <v/>
      </c>
      <c r="H180" s="234" t="str">
        <f t="shared" si="123"/>
        <v/>
      </c>
      <c r="I180" s="234" t="str">
        <f t="shared" si="123"/>
        <v/>
      </c>
      <c r="J180" s="234" t="str">
        <f t="shared" si="123"/>
        <v/>
      </c>
      <c r="K180" s="234" t="str">
        <f t="shared" si="123"/>
        <v/>
      </c>
      <c r="L180" s="234" t="str">
        <f t="shared" si="123"/>
        <v/>
      </c>
      <c r="M180" s="234" t="str">
        <f t="shared" si="123"/>
        <v/>
      </c>
      <c r="N180" s="235" t="str">
        <f>N179</f>
        <v/>
      </c>
      <c r="O180" s="125" t="s">
        <v>187</v>
      </c>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row>
    <row r="181" spans="1:99" ht="13.5" hidden="1" outlineLevel="1" thickBot="1" x14ac:dyDescent="0.25">
      <c r="A181" s="10"/>
      <c r="B181" s="10"/>
      <c r="C181" s="10"/>
      <c r="D181" s="10"/>
      <c r="E181" s="96" t="s">
        <v>220</v>
      </c>
      <c r="F181" s="345" t="str">
        <f t="shared" ref="F181:M181" si="124">IF(ISNA(MATCH(F22,SectorFaced,0)),"-",F177)</f>
        <v>-</v>
      </c>
      <c r="G181" s="346" t="str">
        <f t="shared" si="124"/>
        <v>-</v>
      </c>
      <c r="H181" s="346" t="str">
        <f t="shared" si="124"/>
        <v>-</v>
      </c>
      <c r="I181" s="346" t="str">
        <f t="shared" si="124"/>
        <v>-</v>
      </c>
      <c r="J181" s="346" t="str">
        <f t="shared" si="124"/>
        <v>-</v>
      </c>
      <c r="K181" s="346" t="str">
        <f t="shared" si="124"/>
        <v>-</v>
      </c>
      <c r="L181" s="346" t="str">
        <f t="shared" si="124"/>
        <v>-</v>
      </c>
      <c r="M181" s="346" t="str">
        <f t="shared" si="124"/>
        <v>-</v>
      </c>
      <c r="N181" s="347" t="str">
        <f>IF(ISNA(MATCH(N22,SectorFaced,0)),"-",N177)</f>
        <v>-</v>
      </c>
      <c r="O181" s="89">
        <f>COUNT(F181:N181)</f>
        <v>0</v>
      </c>
      <c r="P181" s="125" t="s">
        <v>228</v>
      </c>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row>
    <row r="182" spans="1:99" hidden="1" outlineLevel="1" x14ac:dyDescent="0.2">
      <c r="A182" s="10"/>
      <c r="B182" s="10"/>
      <c r="C182" s="10"/>
      <c r="D182" s="104"/>
      <c r="E182" s="104"/>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row>
    <row r="183" spans="1:99" ht="13.5" hidden="1" outlineLevel="1" thickBot="1" x14ac:dyDescent="0.25">
      <c r="A183" s="10"/>
      <c r="B183" s="186" t="s">
        <v>222</v>
      </c>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row>
    <row r="184" spans="1:99" hidden="1" outlineLevel="1" x14ac:dyDescent="0.2">
      <c r="A184" s="10"/>
      <c r="B184" s="10"/>
      <c r="C184" s="10"/>
      <c r="D184" s="10"/>
      <c r="E184" s="96" t="s">
        <v>218</v>
      </c>
      <c r="F184" s="150">
        <f>F177</f>
        <v>1</v>
      </c>
      <c r="G184" s="133">
        <f t="shared" ref="G184:M184" si="125">G177</f>
        <v>2</v>
      </c>
      <c r="H184" s="133">
        <f t="shared" si="125"/>
        <v>3</v>
      </c>
      <c r="I184" s="133">
        <f t="shared" si="125"/>
        <v>4</v>
      </c>
      <c r="J184" s="133">
        <f t="shared" si="125"/>
        <v>5</v>
      </c>
      <c r="K184" s="133">
        <f t="shared" si="125"/>
        <v>6</v>
      </c>
      <c r="L184" s="133">
        <f t="shared" si="125"/>
        <v>7</v>
      </c>
      <c r="M184" s="440">
        <f t="shared" si="125"/>
        <v>8</v>
      </c>
      <c r="N184" s="10"/>
      <c r="O184" s="68" t="s">
        <v>102</v>
      </c>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row>
    <row r="185" spans="1:99" hidden="1" outlineLevel="1" x14ac:dyDescent="0.2">
      <c r="A185" s="10"/>
      <c r="B185" s="10"/>
      <c r="C185" s="10"/>
      <c r="D185" s="10"/>
      <c r="E185" s="188" t="s">
        <v>221</v>
      </c>
      <c r="F185" s="238" t="str">
        <f t="shared" ref="F185:M185" si="126">IF(F24&gt;0,F184,"-")</f>
        <v>-</v>
      </c>
      <c r="G185" s="239" t="str">
        <f t="shared" si="126"/>
        <v>-</v>
      </c>
      <c r="H185" s="239" t="str">
        <f t="shared" si="126"/>
        <v>-</v>
      </c>
      <c r="I185" s="239" t="str">
        <f t="shared" si="126"/>
        <v>-</v>
      </c>
      <c r="J185" s="239" t="str">
        <f t="shared" si="126"/>
        <v>-</v>
      </c>
      <c r="K185" s="239" t="str">
        <f t="shared" si="126"/>
        <v>-</v>
      </c>
      <c r="L185" s="239" t="str">
        <f t="shared" si="126"/>
        <v>-</v>
      </c>
      <c r="M185" s="240" t="str">
        <f t="shared" si="126"/>
        <v>-</v>
      </c>
      <c r="N185" s="10"/>
      <c r="O185" s="199">
        <f>COUNT(F185:N185)</f>
        <v>0</v>
      </c>
      <c r="P185" s="125" t="s">
        <v>190</v>
      </c>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row>
    <row r="186" spans="1:99" hidden="1" outlineLevel="1" x14ac:dyDescent="0.2">
      <c r="A186" s="10"/>
      <c r="B186" s="10"/>
      <c r="C186" s="10"/>
      <c r="D186" s="10"/>
      <c r="E186" s="188" t="s">
        <v>223</v>
      </c>
      <c r="F186" s="241" t="str">
        <f>IF(ISERR(INDEX(Orientations,1,SMALL(Calculator!$F185:$N185,F184))),"",INDEX(Orientations,1,SMALL(Calculator!$F185:$N185,F184)))</f>
        <v/>
      </c>
      <c r="G186" s="242" t="str">
        <f>IF(ISERR(INDEX(Orientations,1,SMALL(Calculator!$F185:$N185,G184))),"",INDEX(Orientations,1,SMALL(Calculator!$F185:$N185,G184)))</f>
        <v/>
      </c>
      <c r="H186" s="242" t="str">
        <f>IF(ISERR(INDEX(Orientations,1,SMALL(Calculator!$F185:$N185,H184))),"",INDEX(Orientations,1,SMALL(Calculator!$F185:$N185,H184)))</f>
        <v/>
      </c>
      <c r="I186" s="242" t="str">
        <f>IF(ISERR(INDEX(Orientations,1,SMALL(Calculator!$F185:$N185,I184))),"",INDEX(Orientations,1,SMALL(Calculator!$F185:$N185,I184)))</f>
        <v/>
      </c>
      <c r="J186" s="242" t="str">
        <f>IF(ISERR(INDEX(Orientations,1,SMALL(Calculator!$F185:$N185,J184))),"",INDEX(Orientations,1,SMALL(Calculator!$F185:$N185,J184)))</f>
        <v/>
      </c>
      <c r="K186" s="242" t="str">
        <f>IF(ISERR(INDEX(Orientations,1,SMALL(Calculator!$F185:$N185,K184))),"",INDEX(Orientations,1,SMALL(Calculator!$F185:$N185,K184)))</f>
        <v/>
      </c>
      <c r="L186" s="242" t="str">
        <f>IF(ISERR(INDEX(Orientations,1,SMALL(Calculator!$F185:$N185,L184))),"",INDEX(Orientations,1,SMALL(Calculator!$F185:$N185,L184)))</f>
        <v/>
      </c>
      <c r="M186" s="243" t="str">
        <f>IF(ISERR(INDEX(Orientations,1,SMALL(Calculator!$F185:$N185,M184))),"",INDEX(Orientations,1,SMALL(Calculator!$F185:$N185,M184)))</f>
        <v/>
      </c>
      <c r="N186" s="10"/>
      <c r="O186" s="125" t="s">
        <v>229</v>
      </c>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row>
    <row r="187" spans="1:99" hidden="1" outlineLevel="1" x14ac:dyDescent="0.2">
      <c r="A187" s="10"/>
      <c r="B187" s="10"/>
      <c r="C187" s="10"/>
      <c r="D187" s="10"/>
      <c r="E187" s="96" t="s">
        <v>219</v>
      </c>
      <c r="F187" s="244" t="str">
        <f>F186</f>
        <v/>
      </c>
      <c r="G187" s="245" t="str">
        <f t="shared" ref="G187:M187" si="127">G186</f>
        <v/>
      </c>
      <c r="H187" s="245" t="str">
        <f t="shared" si="127"/>
        <v/>
      </c>
      <c r="I187" s="245" t="str">
        <f t="shared" si="127"/>
        <v/>
      </c>
      <c r="J187" s="245" t="str">
        <f t="shared" si="127"/>
        <v/>
      </c>
      <c r="K187" s="245" t="str">
        <f t="shared" si="127"/>
        <v/>
      </c>
      <c r="L187" s="245" t="str">
        <f t="shared" si="127"/>
        <v/>
      </c>
      <c r="M187" s="246" t="str">
        <f t="shared" si="127"/>
        <v/>
      </c>
      <c r="N187" s="10"/>
      <c r="O187" s="125" t="s">
        <v>192</v>
      </c>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row>
    <row r="188" spans="1:99" ht="13.5" hidden="1" outlineLevel="1" thickBot="1" x14ac:dyDescent="0.25">
      <c r="A188" s="10"/>
      <c r="B188" s="10"/>
      <c r="C188" s="10"/>
      <c r="D188" s="10"/>
      <c r="E188" s="96" t="s">
        <v>220</v>
      </c>
      <c r="F188" s="345" t="str">
        <f t="shared" ref="F188:M188" si="128">IF(ISNA(MATCH(F22,SectorFacedLowR,0)),"-",F184)</f>
        <v>-</v>
      </c>
      <c r="G188" s="346" t="str">
        <f t="shared" si="128"/>
        <v>-</v>
      </c>
      <c r="H188" s="346" t="str">
        <f t="shared" si="128"/>
        <v>-</v>
      </c>
      <c r="I188" s="346" t="str">
        <f t="shared" si="128"/>
        <v>-</v>
      </c>
      <c r="J188" s="346" t="str">
        <f t="shared" si="128"/>
        <v>-</v>
      </c>
      <c r="K188" s="346" t="str">
        <f t="shared" si="128"/>
        <v>-</v>
      </c>
      <c r="L188" s="346" t="str">
        <f t="shared" si="128"/>
        <v>-</v>
      </c>
      <c r="M188" s="347" t="str">
        <f t="shared" si="128"/>
        <v>-</v>
      </c>
      <c r="N188" s="10"/>
      <c r="O188" s="199">
        <f>COUNT(F188:N188)</f>
        <v>0</v>
      </c>
      <c r="P188" s="125" t="s">
        <v>230</v>
      </c>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row>
    <row r="189" spans="1:99" hidden="1" outlineLevel="1" x14ac:dyDescent="0.2">
      <c r="A189" s="10"/>
      <c r="B189" s="10"/>
      <c r="C189" s="10"/>
      <c r="D189" s="104"/>
      <c r="E189" s="104"/>
      <c r="F189" s="10"/>
      <c r="G189" s="10"/>
      <c r="H189" s="10"/>
      <c r="I189" s="10"/>
      <c r="J189" s="10"/>
      <c r="K189" s="10"/>
      <c r="L189" s="10"/>
      <c r="M189" s="10"/>
      <c r="N189" s="10"/>
      <c r="O189" s="200">
        <f>NumberActive+NumberActiveLowR</f>
        <v>0</v>
      </c>
      <c r="P189" s="125" t="s">
        <v>231</v>
      </c>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row>
    <row r="190" spans="1:99" collapsed="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row>
    <row r="191" spans="1:99" hidden="1" outlineLevel="1" x14ac:dyDescent="0.2">
      <c r="A191" s="10"/>
      <c r="B191" s="139" t="s">
        <v>226</v>
      </c>
      <c r="C191" s="204"/>
      <c r="D191" s="204"/>
      <c r="E191" s="204"/>
      <c r="F191" s="204"/>
      <c r="G191" s="204"/>
      <c r="H191" s="204"/>
      <c r="I191" s="204"/>
      <c r="J191" s="204"/>
      <c r="K191" s="204"/>
      <c r="L191" s="204"/>
      <c r="M191" s="204"/>
      <c r="N191" s="204"/>
      <c r="O191" s="204"/>
      <c r="P191" s="204"/>
      <c r="Q191" s="204"/>
      <c r="R191" s="204"/>
      <c r="S191" s="204"/>
      <c r="T191" s="204"/>
      <c r="U191" s="204"/>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row>
    <row r="192" spans="1:99" hidden="1" outlineLevel="1" x14ac:dyDescent="0.2">
      <c r="A192" s="10"/>
      <c r="B192" s="6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row>
    <row r="193" spans="1:99" ht="13.5" hidden="1" outlineLevel="1" thickBot="1" x14ac:dyDescent="0.25">
      <c r="A193" s="10"/>
      <c r="B193" s="67" t="s">
        <v>217</v>
      </c>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row>
    <row r="194" spans="1:99" hidden="1" outlineLevel="1" x14ac:dyDescent="0.2">
      <c r="A194" s="10"/>
      <c r="B194" s="10"/>
      <c r="C194" s="10"/>
      <c r="D194" s="10"/>
      <c r="E194" s="96" t="s">
        <v>85</v>
      </c>
      <c r="F194" s="247">
        <f t="shared" ref="F194:M194" si="129">SUMIF(SectorFaced,F22,AreaUsed)</f>
        <v>0</v>
      </c>
      <c r="G194" s="248">
        <f t="shared" si="129"/>
        <v>0</v>
      </c>
      <c r="H194" s="248">
        <f t="shared" si="129"/>
        <v>0</v>
      </c>
      <c r="I194" s="248">
        <f t="shared" si="129"/>
        <v>0</v>
      </c>
      <c r="J194" s="248">
        <f t="shared" si="129"/>
        <v>0</v>
      </c>
      <c r="K194" s="248">
        <f t="shared" si="129"/>
        <v>0</v>
      </c>
      <c r="L194" s="248">
        <f t="shared" si="129"/>
        <v>0</v>
      </c>
      <c r="M194" s="248">
        <f t="shared" si="129"/>
        <v>0</v>
      </c>
      <c r="N194" s="249">
        <f>SUMIF(SectorFaced,N22,AreaUsed)</f>
        <v>0</v>
      </c>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row>
    <row r="195" spans="1:99" hidden="1" outlineLevel="1" x14ac:dyDescent="0.2">
      <c r="A195" s="10"/>
      <c r="B195" s="10"/>
      <c r="C195" s="10"/>
      <c r="D195" s="10"/>
      <c r="E195" s="96" t="s">
        <v>84</v>
      </c>
      <c r="F195" s="250">
        <f t="shared" ref="F195:N195" si="130">IF(F23=0,0,F194/F23)</f>
        <v>0</v>
      </c>
      <c r="G195" s="251">
        <f t="shared" si="130"/>
        <v>0</v>
      </c>
      <c r="H195" s="251">
        <f t="shared" si="130"/>
        <v>0</v>
      </c>
      <c r="I195" s="251">
        <f t="shared" si="130"/>
        <v>0</v>
      </c>
      <c r="J195" s="251">
        <f t="shared" si="130"/>
        <v>0</v>
      </c>
      <c r="K195" s="251">
        <f t="shared" si="130"/>
        <v>0</v>
      </c>
      <c r="L195" s="251">
        <f t="shared" si="130"/>
        <v>0</v>
      </c>
      <c r="M195" s="251">
        <f t="shared" si="130"/>
        <v>0</v>
      </c>
      <c r="N195" s="252">
        <f t="shared" si="130"/>
        <v>0</v>
      </c>
      <c r="O195" s="127" t="s">
        <v>224</v>
      </c>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row>
    <row r="196" spans="1:99" ht="13.5" hidden="1" outlineLevel="1" thickBot="1" x14ac:dyDescent="0.25">
      <c r="A196" s="10"/>
      <c r="B196" s="10"/>
      <c r="C196" s="10"/>
      <c r="D196" s="10"/>
      <c r="E196" s="96" t="s">
        <v>83</v>
      </c>
      <c r="F196" s="253">
        <f t="shared" ref="F196:M196" si="131">F23-F194</f>
        <v>0</v>
      </c>
      <c r="G196" s="254">
        <f t="shared" si="131"/>
        <v>0</v>
      </c>
      <c r="H196" s="254">
        <f t="shared" si="131"/>
        <v>0</v>
      </c>
      <c r="I196" s="254">
        <f t="shared" si="131"/>
        <v>0</v>
      </c>
      <c r="J196" s="254">
        <f t="shared" si="131"/>
        <v>0</v>
      </c>
      <c r="K196" s="254">
        <f t="shared" si="131"/>
        <v>0</v>
      </c>
      <c r="L196" s="254">
        <f t="shared" si="131"/>
        <v>0</v>
      </c>
      <c r="M196" s="254">
        <f t="shared" si="131"/>
        <v>0</v>
      </c>
      <c r="N196" s="255">
        <f>N23-N194</f>
        <v>0</v>
      </c>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row>
    <row r="197" spans="1:99" hidden="1" outlineLevel="1" x14ac:dyDescent="0.2">
      <c r="A197" s="10"/>
      <c r="B197" s="10"/>
      <c r="C197" s="10"/>
      <c r="D197" s="104"/>
      <c r="E197" s="104"/>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row>
    <row r="198" spans="1:99" ht="13.5" hidden="1" outlineLevel="1" thickBot="1" x14ac:dyDescent="0.25">
      <c r="A198" s="10"/>
      <c r="B198" s="186" t="s">
        <v>222</v>
      </c>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row>
    <row r="199" spans="1:99" hidden="1" outlineLevel="1" x14ac:dyDescent="0.2">
      <c r="A199" s="10"/>
      <c r="B199" s="10"/>
      <c r="C199" s="10"/>
      <c r="D199" s="10"/>
      <c r="E199" s="96" t="s">
        <v>85</v>
      </c>
      <c r="F199" s="247">
        <f t="shared" ref="F199:M199" si="132">SUMIF(SectorFacedLowR,F22,AreaUsed)</f>
        <v>0</v>
      </c>
      <c r="G199" s="248">
        <f t="shared" si="132"/>
        <v>0</v>
      </c>
      <c r="H199" s="248">
        <f t="shared" si="132"/>
        <v>0</v>
      </c>
      <c r="I199" s="248">
        <f t="shared" si="132"/>
        <v>0</v>
      </c>
      <c r="J199" s="248">
        <f t="shared" si="132"/>
        <v>0</v>
      </c>
      <c r="K199" s="248">
        <f t="shared" si="132"/>
        <v>0</v>
      </c>
      <c r="L199" s="248">
        <f t="shared" si="132"/>
        <v>0</v>
      </c>
      <c r="M199" s="249">
        <f t="shared" si="132"/>
        <v>0</v>
      </c>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row>
    <row r="200" spans="1:99" hidden="1" outlineLevel="1" x14ac:dyDescent="0.2">
      <c r="A200" s="10"/>
      <c r="B200" s="10"/>
      <c r="C200" s="10"/>
      <c r="D200" s="10"/>
      <c r="E200" s="96" t="s">
        <v>84</v>
      </c>
      <c r="F200" s="256">
        <f t="shared" ref="F200:M200" si="133">IF(F24=0,0,F199/F24)</f>
        <v>0</v>
      </c>
      <c r="G200" s="257">
        <f t="shared" si="133"/>
        <v>0</v>
      </c>
      <c r="H200" s="257">
        <f t="shared" si="133"/>
        <v>0</v>
      </c>
      <c r="I200" s="257">
        <f t="shared" si="133"/>
        <v>0</v>
      </c>
      <c r="J200" s="257">
        <f t="shared" si="133"/>
        <v>0</v>
      </c>
      <c r="K200" s="257">
        <f t="shared" si="133"/>
        <v>0</v>
      </c>
      <c r="L200" s="257">
        <f t="shared" si="133"/>
        <v>0</v>
      </c>
      <c r="M200" s="258">
        <f t="shared" si="133"/>
        <v>0</v>
      </c>
      <c r="N200" s="10"/>
      <c r="O200" s="127" t="s">
        <v>225</v>
      </c>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row>
    <row r="201" spans="1:99" ht="13.5" hidden="1" outlineLevel="1" thickBot="1" x14ac:dyDescent="0.25">
      <c r="A201" s="10"/>
      <c r="B201" s="10"/>
      <c r="C201" s="10"/>
      <c r="D201" s="10"/>
      <c r="E201" s="96" t="s">
        <v>83</v>
      </c>
      <c r="F201" s="253">
        <f t="shared" ref="F201:M201" si="134">F24-F199</f>
        <v>0</v>
      </c>
      <c r="G201" s="254">
        <f t="shared" si="134"/>
        <v>0</v>
      </c>
      <c r="H201" s="254">
        <f t="shared" si="134"/>
        <v>0</v>
      </c>
      <c r="I201" s="254">
        <f t="shared" si="134"/>
        <v>0</v>
      </c>
      <c r="J201" s="254">
        <f t="shared" si="134"/>
        <v>0</v>
      </c>
      <c r="K201" s="254">
        <f t="shared" si="134"/>
        <v>0</v>
      </c>
      <c r="L201" s="254">
        <f t="shared" si="134"/>
        <v>0</v>
      </c>
      <c r="M201" s="255">
        <f t="shared" si="134"/>
        <v>0</v>
      </c>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row>
    <row r="202" spans="1:99" collapsed="1" x14ac:dyDescent="0.2">
      <c r="A202" s="10"/>
      <c r="B202" s="10"/>
      <c r="C202" s="10"/>
      <c r="D202" s="104"/>
      <c r="E202" s="104"/>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row>
    <row r="203" spans="1:99" x14ac:dyDescent="0.2">
      <c r="A203" s="10"/>
      <c r="B203" s="10"/>
      <c r="C203" s="10"/>
      <c r="D203" s="104"/>
      <c r="E203" s="104"/>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row>
    <row r="204" spans="1:99" hidden="1" outlineLevel="1" x14ac:dyDescent="0.2">
      <c r="A204" s="10"/>
      <c r="B204" s="139" t="s">
        <v>232</v>
      </c>
      <c r="C204" s="204"/>
      <c r="D204" s="204"/>
      <c r="E204" s="204"/>
      <c r="F204" s="204"/>
      <c r="G204" s="204"/>
      <c r="H204" s="204"/>
      <c r="I204" s="204"/>
      <c r="J204" s="204"/>
      <c r="K204" s="204"/>
      <c r="L204" s="204"/>
      <c r="M204" s="204"/>
      <c r="N204" s="204"/>
      <c r="O204" s="204"/>
      <c r="P204" s="204"/>
      <c r="Q204" s="204"/>
      <c r="R204" s="204"/>
      <c r="S204" s="204"/>
      <c r="T204" s="204"/>
      <c r="U204" s="204"/>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row>
    <row r="205" spans="1:99" hidden="1" outlineLevel="1" x14ac:dyDescent="0.2">
      <c r="A205" s="10"/>
      <c r="B205" s="6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row>
    <row r="206" spans="1:99" ht="13.5" hidden="1" outlineLevel="1" thickBot="1" x14ac:dyDescent="0.25">
      <c r="A206" s="10"/>
      <c r="B206" s="67" t="s">
        <v>217</v>
      </c>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row>
    <row r="207" spans="1:99" hidden="1" outlineLevel="1" x14ac:dyDescent="0.2">
      <c r="A207" s="10"/>
      <c r="B207" s="10"/>
      <c r="C207" s="10"/>
      <c r="D207" s="10"/>
      <c r="E207" s="96" t="s">
        <v>75</v>
      </c>
      <c r="F207" s="259">
        <f t="shared" ref="F207:L207" si="135">SUMIF(SectorFaced,F22,Factors)</f>
        <v>0</v>
      </c>
      <c r="G207" s="260">
        <f t="shared" si="135"/>
        <v>0</v>
      </c>
      <c r="H207" s="260">
        <f t="shared" si="135"/>
        <v>0</v>
      </c>
      <c r="I207" s="260">
        <f t="shared" si="135"/>
        <v>0</v>
      </c>
      <c r="J207" s="260">
        <f t="shared" si="135"/>
        <v>0</v>
      </c>
      <c r="K207" s="260">
        <f t="shared" si="135"/>
        <v>0</v>
      </c>
      <c r="L207" s="260">
        <f t="shared" si="135"/>
        <v>0</v>
      </c>
      <c r="M207" s="260">
        <f>SUMIF(SectorFaced,M22,Factors)</f>
        <v>0</v>
      </c>
      <c r="N207" s="261">
        <f>SUMIF(SectorFaced,N22,Factors)</f>
        <v>0</v>
      </c>
      <c r="O207" s="127" t="s">
        <v>233</v>
      </c>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row>
    <row r="208" spans="1:99" hidden="1" outlineLevel="1" x14ac:dyDescent="0.2">
      <c r="A208" s="10"/>
      <c r="B208" s="10"/>
      <c r="C208" s="10"/>
      <c r="D208" s="10"/>
      <c r="E208" s="96" t="s">
        <v>74</v>
      </c>
      <c r="F208" s="262" t="e">
        <f t="shared" ref="F208:L208" si="136">ZoneIndex*F23</f>
        <v>#VALUE!</v>
      </c>
      <c r="G208" s="263" t="e">
        <f t="shared" si="136"/>
        <v>#VALUE!</v>
      </c>
      <c r="H208" s="263" t="e">
        <f t="shared" si="136"/>
        <v>#VALUE!</v>
      </c>
      <c r="I208" s="263" t="e">
        <f t="shared" si="136"/>
        <v>#VALUE!</v>
      </c>
      <c r="J208" s="263" t="e">
        <f t="shared" si="136"/>
        <v>#VALUE!</v>
      </c>
      <c r="K208" s="263" t="e">
        <f t="shared" si="136"/>
        <v>#VALUE!</v>
      </c>
      <c r="L208" s="263" t="e">
        <f t="shared" si="136"/>
        <v>#VALUE!</v>
      </c>
      <c r="M208" s="263" t="e">
        <f>ZoneIndex*M23</f>
        <v>#VALUE!</v>
      </c>
      <c r="N208" s="264" t="e">
        <f>ZoneIndex*N23</f>
        <v>#VALUE!</v>
      </c>
      <c r="O208" s="127" t="s">
        <v>234</v>
      </c>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row>
    <row r="209" spans="1:99" ht="13.5" hidden="1" outlineLevel="1" thickBot="1" x14ac:dyDescent="0.25">
      <c r="A209" s="10"/>
      <c r="B209" s="10"/>
      <c r="C209" s="10"/>
      <c r="D209" s="10"/>
      <c r="E209" s="96" t="s">
        <v>81</v>
      </c>
      <c r="F209" s="265" t="e">
        <f t="shared" ref="F209:L209" si="137">F208-F207</f>
        <v>#VALUE!</v>
      </c>
      <c r="G209" s="266" t="e">
        <f t="shared" si="137"/>
        <v>#VALUE!</v>
      </c>
      <c r="H209" s="266" t="e">
        <f t="shared" si="137"/>
        <v>#VALUE!</v>
      </c>
      <c r="I209" s="266" t="e">
        <f t="shared" si="137"/>
        <v>#VALUE!</v>
      </c>
      <c r="J209" s="266" t="e">
        <f t="shared" si="137"/>
        <v>#VALUE!</v>
      </c>
      <c r="K209" s="266" t="e">
        <f t="shared" si="137"/>
        <v>#VALUE!</v>
      </c>
      <c r="L209" s="266" t="e">
        <f t="shared" si="137"/>
        <v>#VALUE!</v>
      </c>
      <c r="M209" s="266" t="e">
        <f>M208-M207</f>
        <v>#VALUE!</v>
      </c>
      <c r="N209" s="267" t="e">
        <f>N208-N207</f>
        <v>#VALUE!</v>
      </c>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row>
    <row r="210" spans="1:99" hidden="1" outlineLevel="1" x14ac:dyDescent="0.2">
      <c r="A210" s="10"/>
      <c r="B210" s="10"/>
      <c r="C210" s="10"/>
      <c r="D210" s="104"/>
      <c r="E210" s="104"/>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row>
    <row r="211" spans="1:99" ht="13.5" hidden="1" outlineLevel="1" thickBot="1" x14ac:dyDescent="0.25">
      <c r="A211" s="10"/>
      <c r="B211" s="186" t="s">
        <v>222</v>
      </c>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row>
    <row r="212" spans="1:99" hidden="1" outlineLevel="1" x14ac:dyDescent="0.2">
      <c r="A212" s="10"/>
      <c r="B212" s="10"/>
      <c r="C212" s="10"/>
      <c r="D212" s="10"/>
      <c r="E212" s="96" t="s">
        <v>75</v>
      </c>
      <c r="F212" s="268">
        <f t="shared" ref="F212:L212" si="138">SUMIF(SectorFacedLowR,F22,Factors)</f>
        <v>0</v>
      </c>
      <c r="G212" s="269">
        <f t="shared" si="138"/>
        <v>0</v>
      </c>
      <c r="H212" s="269">
        <f t="shared" si="138"/>
        <v>0</v>
      </c>
      <c r="I212" s="269">
        <f t="shared" si="138"/>
        <v>0</v>
      </c>
      <c r="J212" s="269">
        <f t="shared" si="138"/>
        <v>0</v>
      </c>
      <c r="K212" s="269">
        <f t="shared" si="138"/>
        <v>0</v>
      </c>
      <c r="L212" s="269">
        <f t="shared" si="138"/>
        <v>0</v>
      </c>
      <c r="M212" s="270">
        <f>SUMIF(SectorFacedLowR,M22,Factors)</f>
        <v>0</v>
      </c>
      <c r="N212" s="10"/>
      <c r="O212" s="127" t="s">
        <v>235</v>
      </c>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row>
    <row r="213" spans="1:99" hidden="1" outlineLevel="1" x14ac:dyDescent="0.2">
      <c r="A213" s="10"/>
      <c r="B213" s="10"/>
      <c r="C213" s="10"/>
      <c r="D213" s="10"/>
      <c r="E213" s="96" t="s">
        <v>74</v>
      </c>
      <c r="F213" s="271" t="e">
        <f t="shared" ref="F213:L213" si="139">ZoneIndexLowR*F24</f>
        <v>#VALUE!</v>
      </c>
      <c r="G213" s="272" t="e">
        <f t="shared" si="139"/>
        <v>#VALUE!</v>
      </c>
      <c r="H213" s="272" t="e">
        <f t="shared" si="139"/>
        <v>#VALUE!</v>
      </c>
      <c r="I213" s="272" t="e">
        <f t="shared" si="139"/>
        <v>#VALUE!</v>
      </c>
      <c r="J213" s="272" t="e">
        <f t="shared" si="139"/>
        <v>#VALUE!</v>
      </c>
      <c r="K213" s="272" t="e">
        <f t="shared" si="139"/>
        <v>#VALUE!</v>
      </c>
      <c r="L213" s="272" t="e">
        <f t="shared" si="139"/>
        <v>#VALUE!</v>
      </c>
      <c r="M213" s="273" t="e">
        <f>ZoneIndexLowR*M24</f>
        <v>#VALUE!</v>
      </c>
      <c r="N213" s="10"/>
      <c r="O213" s="127" t="s">
        <v>236</v>
      </c>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row>
    <row r="214" spans="1:99" ht="13.5" hidden="1" outlineLevel="1" thickBot="1" x14ac:dyDescent="0.25">
      <c r="A214" s="10"/>
      <c r="B214" s="10"/>
      <c r="C214" s="10"/>
      <c r="D214" s="10"/>
      <c r="E214" s="96" t="s">
        <v>81</v>
      </c>
      <c r="F214" s="265" t="e">
        <f t="shared" ref="F214:L214" si="140">F213-F212</f>
        <v>#VALUE!</v>
      </c>
      <c r="G214" s="266" t="e">
        <f t="shared" si="140"/>
        <v>#VALUE!</v>
      </c>
      <c r="H214" s="266" t="e">
        <f t="shared" si="140"/>
        <v>#VALUE!</v>
      </c>
      <c r="I214" s="266" t="e">
        <f t="shared" si="140"/>
        <v>#VALUE!</v>
      </c>
      <c r="J214" s="266" t="e">
        <f t="shared" si="140"/>
        <v>#VALUE!</v>
      </c>
      <c r="K214" s="266" t="e">
        <f t="shared" si="140"/>
        <v>#VALUE!</v>
      </c>
      <c r="L214" s="266" t="e">
        <f t="shared" si="140"/>
        <v>#VALUE!</v>
      </c>
      <c r="M214" s="267" t="e">
        <f>M213-M212</f>
        <v>#VALUE!</v>
      </c>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row>
    <row r="215" spans="1:99" collapsed="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row>
    <row r="216" spans="1:99"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row>
    <row r="217" spans="1:99" hidden="1" outlineLevel="1" x14ac:dyDescent="0.2">
      <c r="A217" s="10"/>
      <c r="B217" s="72" t="s">
        <v>76</v>
      </c>
      <c r="C217" s="73"/>
      <c r="D217" s="73"/>
      <c r="E217" s="73"/>
      <c r="F217" s="73"/>
      <c r="G217" s="73"/>
      <c r="H217" s="73"/>
      <c r="I217" s="73"/>
      <c r="J217" s="73"/>
      <c r="K217" s="73"/>
      <c r="L217" s="73"/>
      <c r="M217" s="73"/>
      <c r="N217" s="73"/>
      <c r="O217" s="73"/>
      <c r="P217" s="73"/>
      <c r="Q217" s="73"/>
      <c r="R217" s="73"/>
      <c r="S217" s="73"/>
      <c r="T217" s="73"/>
      <c r="U217" s="73"/>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row>
    <row r="218" spans="1:99" hidden="1" outlineLevel="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row>
    <row r="219" spans="1:99" ht="13.5" hidden="1" outlineLevel="1" thickBot="1" x14ac:dyDescent="0.25">
      <c r="A219" s="10"/>
      <c r="B219" s="103" t="s">
        <v>122</v>
      </c>
      <c r="C219" s="10"/>
      <c r="D219" s="10"/>
      <c r="E219" s="10"/>
      <c r="F219" s="10"/>
      <c r="G219" s="10"/>
      <c r="H219" s="10"/>
      <c r="I219" s="10"/>
      <c r="J219" s="10"/>
      <c r="K219" s="10"/>
      <c r="L219" s="10"/>
      <c r="M219" s="10"/>
      <c r="N219" s="10"/>
      <c r="O219" s="68" t="s">
        <v>86</v>
      </c>
      <c r="P219" s="68" t="s">
        <v>89</v>
      </c>
      <c r="Q219" s="92" t="s">
        <v>87</v>
      </c>
      <c r="R219" s="91"/>
      <c r="S219" s="10"/>
      <c r="T219" s="10"/>
      <c r="U219" s="10"/>
      <c r="V219" s="10"/>
      <c r="W219" s="10"/>
      <c r="X219" s="66" t="s">
        <v>105</v>
      </c>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row>
    <row r="220" spans="1:99" hidden="1" outlineLevel="1" x14ac:dyDescent="0.2">
      <c r="A220" s="10"/>
      <c r="B220" s="10"/>
      <c r="C220" s="10"/>
      <c r="D220" s="10"/>
      <c r="E220" s="459" t="s">
        <v>82</v>
      </c>
      <c r="F220" s="423" t="b">
        <f t="shared" ref="F220:N220" si="141">AND(RowsOK&gt;0,F23&gt;0,F194=0)</f>
        <v>0</v>
      </c>
      <c r="G220" s="424" t="b">
        <f t="shared" si="141"/>
        <v>0</v>
      </c>
      <c r="H220" s="424" t="b">
        <f t="shared" si="141"/>
        <v>0</v>
      </c>
      <c r="I220" s="424" t="b">
        <f t="shared" si="141"/>
        <v>0</v>
      </c>
      <c r="J220" s="424" t="b">
        <f t="shared" si="141"/>
        <v>0</v>
      </c>
      <c r="K220" s="424" t="b">
        <f t="shared" si="141"/>
        <v>0</v>
      </c>
      <c r="L220" s="424" t="b">
        <f t="shared" si="141"/>
        <v>0</v>
      </c>
      <c r="M220" s="424" t="b">
        <f t="shared" si="141"/>
        <v>0</v>
      </c>
      <c r="N220" s="425" t="b">
        <f t="shared" si="141"/>
        <v>0</v>
      </c>
      <c r="O220" s="335">
        <f>COUNTIF(F220:N220,TRUE)</f>
        <v>0</v>
      </c>
      <c r="P220" s="94"/>
      <c r="Q220" s="86" t="s">
        <v>91</v>
      </c>
      <c r="R220" s="10"/>
      <c r="S220" s="10"/>
      <c r="T220" s="125" t="s">
        <v>265</v>
      </c>
      <c r="U220" s="10"/>
      <c r="V220" s="10"/>
      <c r="W220" s="10"/>
      <c r="X220" s="66" t="s">
        <v>281</v>
      </c>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row>
    <row r="221" spans="1:99" hidden="1" outlineLevel="1" x14ac:dyDescent="0.2">
      <c r="A221" s="10"/>
      <c r="B221" s="10"/>
      <c r="C221" s="10"/>
      <c r="D221" s="10"/>
      <c r="E221" s="459" t="s">
        <v>255</v>
      </c>
      <c r="F221" s="426" t="b">
        <f t="shared" ref="F221:M221" si="142">AND(F23&gt;0,F196&lt;0)</f>
        <v>0</v>
      </c>
      <c r="G221" s="427" t="b">
        <f t="shared" si="142"/>
        <v>0</v>
      </c>
      <c r="H221" s="427" t="b">
        <f t="shared" si="142"/>
        <v>0</v>
      </c>
      <c r="I221" s="427" t="b">
        <f t="shared" si="142"/>
        <v>0</v>
      </c>
      <c r="J221" s="427" t="b">
        <f t="shared" si="142"/>
        <v>0</v>
      </c>
      <c r="K221" s="427" t="b">
        <f t="shared" si="142"/>
        <v>0</v>
      </c>
      <c r="L221" s="427" t="b">
        <f t="shared" si="142"/>
        <v>0</v>
      </c>
      <c r="M221" s="427" t="b">
        <f t="shared" si="142"/>
        <v>0</v>
      </c>
      <c r="N221" s="428" t="b">
        <f>AND(N23&gt;0,N196&lt;0)</f>
        <v>0</v>
      </c>
      <c r="O221" s="337">
        <f>COUNTIF(F221:N221,TRUE)</f>
        <v>0</v>
      </c>
      <c r="P221" s="481"/>
      <c r="Q221" s="86" t="s">
        <v>88</v>
      </c>
      <c r="R221" s="10"/>
      <c r="S221" s="10"/>
      <c r="T221" s="125" t="s">
        <v>263</v>
      </c>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row>
    <row r="222" spans="1:99" ht="13.5" hidden="1" outlineLevel="1" thickBot="1" x14ac:dyDescent="0.25">
      <c r="A222" s="10"/>
      <c r="B222" s="10"/>
      <c r="C222" s="10"/>
      <c r="D222" s="10"/>
      <c r="E222" s="459" t="s">
        <v>278</v>
      </c>
      <c r="F222" s="429" t="b">
        <f t="shared" ref="F222:M222" si="143">AND(F23=0,F181=F177)</f>
        <v>0</v>
      </c>
      <c r="G222" s="430" t="b">
        <f t="shared" si="143"/>
        <v>0</v>
      </c>
      <c r="H222" s="430" t="b">
        <f t="shared" si="143"/>
        <v>0</v>
      </c>
      <c r="I222" s="430" t="b">
        <f t="shared" si="143"/>
        <v>0</v>
      </c>
      <c r="J222" s="430" t="b">
        <f t="shared" si="143"/>
        <v>0</v>
      </c>
      <c r="K222" s="430" t="b">
        <f t="shared" si="143"/>
        <v>0</v>
      </c>
      <c r="L222" s="430" t="b">
        <f t="shared" si="143"/>
        <v>0</v>
      </c>
      <c r="M222" s="430" t="b">
        <f t="shared" si="143"/>
        <v>0</v>
      </c>
      <c r="N222" s="431" t="b">
        <f>AND(N23=0,N181=N177)</f>
        <v>0</v>
      </c>
      <c r="O222" s="335">
        <f>COUNTIF(F222:N222,TRUE)</f>
        <v>0</v>
      </c>
      <c r="P222" s="481"/>
      <c r="Q222" s="86" t="s">
        <v>80</v>
      </c>
      <c r="R222" s="10"/>
      <c r="S222" s="10"/>
      <c r="T222" s="125" t="s">
        <v>261</v>
      </c>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row>
    <row r="223" spans="1:99" hidden="1" outlineLevel="1" x14ac:dyDescent="0.2">
      <c r="A223" s="10"/>
      <c r="B223" s="10"/>
      <c r="C223" s="10"/>
      <c r="D223" s="96"/>
      <c r="E223" s="96"/>
      <c r="F223" s="127" t="s">
        <v>237</v>
      </c>
      <c r="G223" s="96"/>
      <c r="H223" s="96"/>
      <c r="I223" s="96"/>
      <c r="J223" s="96"/>
      <c r="K223" s="96"/>
      <c r="L223" s="96"/>
      <c r="M223" s="96"/>
      <c r="N223" s="96"/>
      <c r="O223" s="90"/>
      <c r="P223" s="90"/>
      <c r="Q223" s="86"/>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row>
    <row r="224" spans="1:99" hidden="1" outlineLevel="1" x14ac:dyDescent="0.2">
      <c r="A224" s="10"/>
      <c r="B224" s="10"/>
      <c r="C224" s="10"/>
      <c r="D224" s="10"/>
      <c r="E224" s="96" t="s">
        <v>276</v>
      </c>
      <c r="F224" s="88">
        <f>COUNTIF(F220:F222,TRUE)</f>
        <v>0</v>
      </c>
      <c r="G224" s="88">
        <f t="shared" ref="G224:N224" si="144">COUNTIF(G220:G222,TRUE)</f>
        <v>0</v>
      </c>
      <c r="H224" s="88">
        <f t="shared" si="144"/>
        <v>0</v>
      </c>
      <c r="I224" s="88">
        <f t="shared" si="144"/>
        <v>0</v>
      </c>
      <c r="J224" s="88">
        <f t="shared" si="144"/>
        <v>0</v>
      </c>
      <c r="K224" s="88">
        <f t="shared" si="144"/>
        <v>0</v>
      </c>
      <c r="L224" s="88">
        <f t="shared" si="144"/>
        <v>0</v>
      </c>
      <c r="M224" s="88">
        <f t="shared" si="144"/>
        <v>0</v>
      </c>
      <c r="N224" s="88">
        <f t="shared" si="144"/>
        <v>0</v>
      </c>
      <c r="O224" s="337">
        <f>SUM(F224:M224)</f>
        <v>0</v>
      </c>
      <c r="P224" s="93"/>
      <c r="Q224" s="10"/>
      <c r="R224" s="10"/>
      <c r="S224" s="10"/>
      <c r="T224" s="125" t="s">
        <v>267</v>
      </c>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row>
    <row r="225" spans="1:99" hidden="1" outlineLevel="1" x14ac:dyDescent="0.2">
      <c r="A225" s="10"/>
      <c r="B225" s="10"/>
      <c r="C225" s="10"/>
      <c r="D225" s="104"/>
      <c r="E225" s="104"/>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row>
    <row r="226" spans="1:99" ht="13.5" hidden="1" outlineLevel="1" thickBot="1" x14ac:dyDescent="0.25">
      <c r="A226" s="10"/>
      <c r="B226" s="202" t="s">
        <v>123</v>
      </c>
      <c r="C226" s="10"/>
      <c r="D226" s="10"/>
      <c r="E226" s="10"/>
      <c r="F226" s="10"/>
      <c r="G226" s="10"/>
      <c r="H226" s="10"/>
      <c r="I226" s="10"/>
      <c r="J226" s="10"/>
      <c r="K226" s="10"/>
      <c r="L226" s="10"/>
      <c r="M226" s="10"/>
      <c r="N226" s="10"/>
      <c r="O226" s="68" t="s">
        <v>86</v>
      </c>
      <c r="P226" s="68" t="s">
        <v>89</v>
      </c>
      <c r="Q226" s="92" t="s">
        <v>87</v>
      </c>
      <c r="R226" s="91"/>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row>
    <row r="227" spans="1:99" hidden="1" outlineLevel="1" x14ac:dyDescent="0.2">
      <c r="A227" s="10"/>
      <c r="B227" s="10"/>
      <c r="C227" s="10"/>
      <c r="D227" s="10"/>
      <c r="E227" s="96" t="s">
        <v>82</v>
      </c>
      <c r="F227" s="423" t="b">
        <f t="shared" ref="F227:M227" si="145">AND(RowsOK&gt;0,F24&gt;0,F199=0,Zone&lt;8)</f>
        <v>0</v>
      </c>
      <c r="G227" s="424" t="b">
        <f t="shared" si="145"/>
        <v>0</v>
      </c>
      <c r="H227" s="424" t="b">
        <f t="shared" si="145"/>
        <v>0</v>
      </c>
      <c r="I227" s="424" t="b">
        <f t="shared" si="145"/>
        <v>0</v>
      </c>
      <c r="J227" s="424" t="b">
        <f t="shared" si="145"/>
        <v>0</v>
      </c>
      <c r="K227" s="424" t="b">
        <f t="shared" si="145"/>
        <v>0</v>
      </c>
      <c r="L227" s="424" t="b">
        <f t="shared" si="145"/>
        <v>0</v>
      </c>
      <c r="M227" s="425" t="b">
        <f t="shared" si="145"/>
        <v>0</v>
      </c>
      <c r="N227" s="10"/>
      <c r="O227" s="336">
        <f>COUNTIF(F227:M227,TRUE)</f>
        <v>0</v>
      </c>
      <c r="P227" s="94"/>
      <c r="Q227" s="86" t="s">
        <v>91</v>
      </c>
      <c r="R227" s="10"/>
      <c r="S227" s="10"/>
      <c r="T227" s="125" t="s">
        <v>266</v>
      </c>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row>
    <row r="228" spans="1:99" hidden="1" outlineLevel="1" x14ac:dyDescent="0.2">
      <c r="A228" s="10"/>
      <c r="B228" s="10"/>
      <c r="C228" s="10"/>
      <c r="D228" s="10"/>
      <c r="E228" s="96" t="s">
        <v>255</v>
      </c>
      <c r="F228" s="426" t="b">
        <f t="shared" ref="F228:M228" si="146">AND(F24&gt;0,F201&lt;0)</f>
        <v>0</v>
      </c>
      <c r="G228" s="427" t="b">
        <f t="shared" si="146"/>
        <v>0</v>
      </c>
      <c r="H228" s="427" t="b">
        <f t="shared" si="146"/>
        <v>0</v>
      </c>
      <c r="I228" s="427" t="b">
        <f t="shared" si="146"/>
        <v>0</v>
      </c>
      <c r="J228" s="427" t="b">
        <f t="shared" si="146"/>
        <v>0</v>
      </c>
      <c r="K228" s="427" t="b">
        <f t="shared" si="146"/>
        <v>0</v>
      </c>
      <c r="L228" s="427" t="b">
        <f t="shared" si="146"/>
        <v>0</v>
      </c>
      <c r="M228" s="428" t="b">
        <f t="shared" si="146"/>
        <v>0</v>
      </c>
      <c r="N228" s="10"/>
      <c r="O228" s="338">
        <f>COUNTIF(F228:M228,TRUE)</f>
        <v>0</v>
      </c>
      <c r="P228" s="481"/>
      <c r="Q228" s="86" t="s">
        <v>88</v>
      </c>
      <c r="R228" s="10"/>
      <c r="S228" s="10"/>
      <c r="T228" s="125" t="s">
        <v>264</v>
      </c>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row>
    <row r="229" spans="1:99" ht="13.5" hidden="1" outlineLevel="1" thickBot="1" x14ac:dyDescent="0.25">
      <c r="A229" s="10"/>
      <c r="B229" s="10"/>
      <c r="C229" s="10"/>
      <c r="D229" s="10"/>
      <c r="E229" s="96" t="s">
        <v>278</v>
      </c>
      <c r="F229" s="432" t="b">
        <f t="shared" ref="F229:M229" si="147">AND(F24=0,F188=F184)</f>
        <v>0</v>
      </c>
      <c r="G229" s="433" t="b">
        <f t="shared" si="147"/>
        <v>0</v>
      </c>
      <c r="H229" s="433" t="b">
        <f t="shared" si="147"/>
        <v>0</v>
      </c>
      <c r="I229" s="433" t="b">
        <f t="shared" si="147"/>
        <v>0</v>
      </c>
      <c r="J229" s="433" t="b">
        <f t="shared" si="147"/>
        <v>0</v>
      </c>
      <c r="K229" s="433" t="b">
        <f t="shared" si="147"/>
        <v>0</v>
      </c>
      <c r="L229" s="433" t="b">
        <f t="shared" si="147"/>
        <v>0</v>
      </c>
      <c r="M229" s="434" t="b">
        <f t="shared" si="147"/>
        <v>0</v>
      </c>
      <c r="N229" s="10"/>
      <c r="O229" s="336">
        <f>COUNTIF(F229:M229,TRUE)</f>
        <v>0</v>
      </c>
      <c r="P229" s="481"/>
      <c r="Q229" s="86" t="s">
        <v>80</v>
      </c>
      <c r="R229" s="10"/>
      <c r="S229" s="10"/>
      <c r="T229" s="125" t="s">
        <v>262</v>
      </c>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row>
    <row r="230" spans="1:99" ht="13.5" hidden="1" outlineLevel="1" thickBot="1" x14ac:dyDescent="0.25">
      <c r="A230" s="10"/>
      <c r="B230" s="10"/>
      <c r="C230" s="10"/>
      <c r="D230" s="10"/>
      <c r="E230" s="96"/>
      <c r="F230" s="127" t="s">
        <v>238</v>
      </c>
      <c r="G230" s="96"/>
      <c r="H230" s="96"/>
      <c r="I230" s="96"/>
      <c r="J230" s="96"/>
      <c r="K230" s="96"/>
      <c r="L230" s="96"/>
      <c r="M230" s="96"/>
      <c r="N230" s="96"/>
      <c r="O230" s="90"/>
      <c r="P230" s="90"/>
      <c r="Q230" s="86"/>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row>
    <row r="231" spans="1:99" ht="13.5" hidden="1" outlineLevel="1" thickBot="1" x14ac:dyDescent="0.25">
      <c r="A231" s="10"/>
      <c r="B231" s="10"/>
      <c r="C231" s="10"/>
      <c r="D231" s="10"/>
      <c r="E231" s="96" t="s">
        <v>121</v>
      </c>
      <c r="F231" s="435" t="b">
        <f t="shared" ref="F231:M231" si="148">AND(F24&gt;0,Zone=8)</f>
        <v>0</v>
      </c>
      <c r="G231" s="436" t="b">
        <f t="shared" si="148"/>
        <v>0</v>
      </c>
      <c r="H231" s="436" t="b">
        <f t="shared" si="148"/>
        <v>0</v>
      </c>
      <c r="I231" s="436" t="b">
        <f t="shared" si="148"/>
        <v>0</v>
      </c>
      <c r="J231" s="436" t="b">
        <f t="shared" si="148"/>
        <v>0</v>
      </c>
      <c r="K231" s="436" t="b">
        <f t="shared" si="148"/>
        <v>0</v>
      </c>
      <c r="L231" s="436" t="b">
        <f t="shared" si="148"/>
        <v>0</v>
      </c>
      <c r="M231" s="439" t="b">
        <f t="shared" si="148"/>
        <v>0</v>
      </c>
      <c r="N231" s="96"/>
      <c r="O231" s="336">
        <f>COUNTIF(F231:M231,TRUE)</f>
        <v>0</v>
      </c>
      <c r="P231" s="93"/>
      <c r="Q231" s="341" t="s">
        <v>273</v>
      </c>
      <c r="R231" s="10"/>
      <c r="S231" s="10"/>
      <c r="T231" s="125" t="s">
        <v>272</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row>
    <row r="232" spans="1:99" hidden="1" outlineLevel="1" x14ac:dyDescent="0.2">
      <c r="A232" s="10"/>
      <c r="B232" s="10"/>
      <c r="C232" s="10"/>
      <c r="D232" s="10"/>
      <c r="E232" s="96" t="s">
        <v>277</v>
      </c>
      <c r="F232" s="88">
        <f>COUNTIF(F227:F231,TRUE)</f>
        <v>0</v>
      </c>
      <c r="G232" s="88">
        <f t="shared" ref="G232:M232" si="149">COUNTIF(G227:G231,TRUE)</f>
        <v>0</v>
      </c>
      <c r="H232" s="88">
        <f t="shared" si="149"/>
        <v>0</v>
      </c>
      <c r="I232" s="88">
        <f t="shared" si="149"/>
        <v>0</v>
      </c>
      <c r="J232" s="88">
        <f t="shared" si="149"/>
        <v>0</v>
      </c>
      <c r="K232" s="88">
        <f t="shared" si="149"/>
        <v>0</v>
      </c>
      <c r="L232" s="88">
        <f t="shared" si="149"/>
        <v>0</v>
      </c>
      <c r="M232" s="88">
        <f t="shared" si="149"/>
        <v>0</v>
      </c>
      <c r="N232" s="96"/>
      <c r="O232" s="338">
        <f>SUM(F232:M232)</f>
        <v>0</v>
      </c>
      <c r="P232" s="90"/>
      <c r="Q232" s="10"/>
      <c r="R232" s="10"/>
      <c r="S232" s="10"/>
      <c r="T232" s="125" t="s">
        <v>268</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row>
    <row r="233" spans="1:99" hidden="1" outlineLevel="1" x14ac:dyDescent="0.2">
      <c r="A233" s="10"/>
      <c r="B233" s="10"/>
      <c r="C233" s="10"/>
      <c r="D233" s="104"/>
      <c r="E233" s="96" t="s">
        <v>279</v>
      </c>
      <c r="F233" s="88">
        <f>SUM(F224,F232)</f>
        <v>0</v>
      </c>
      <c r="G233" s="88">
        <f t="shared" ref="G233:N233" si="150">SUM(G224,G232)</f>
        <v>0</v>
      </c>
      <c r="H233" s="88">
        <f t="shared" si="150"/>
        <v>0</v>
      </c>
      <c r="I233" s="88">
        <f t="shared" si="150"/>
        <v>0</v>
      </c>
      <c r="J233" s="88">
        <f t="shared" si="150"/>
        <v>0</v>
      </c>
      <c r="K233" s="88">
        <f t="shared" si="150"/>
        <v>0</v>
      </c>
      <c r="L233" s="88">
        <f t="shared" si="150"/>
        <v>0</v>
      </c>
      <c r="M233" s="88">
        <f t="shared" si="150"/>
        <v>0</v>
      </c>
      <c r="N233" s="88">
        <f t="shared" si="150"/>
        <v>0</v>
      </c>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row>
    <row r="234" spans="1:99" hidden="1" outlineLevel="1" x14ac:dyDescent="0.2">
      <c r="A234" s="10"/>
      <c r="B234" s="10"/>
      <c r="C234" s="10"/>
      <c r="D234" s="104"/>
      <c r="E234" s="104"/>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row>
    <row r="235" spans="1:99" hidden="1" outlineLevel="1" x14ac:dyDescent="0.2">
      <c r="A235" s="10"/>
      <c r="B235" s="103" t="s">
        <v>96</v>
      </c>
      <c r="C235" s="10"/>
      <c r="D235" s="10"/>
      <c r="E235" s="103"/>
      <c r="F235" s="10"/>
      <c r="G235" s="10"/>
      <c r="H235" s="10"/>
      <c r="I235" s="10"/>
      <c r="J235" s="10"/>
      <c r="K235" s="10"/>
      <c r="L235" s="10"/>
      <c r="M235" s="10"/>
      <c r="N235" s="10"/>
      <c r="O235" s="339">
        <f>O220+O227</f>
        <v>0</v>
      </c>
      <c r="P235" s="94"/>
      <c r="Q235" s="86" t="str">
        <f>"Glazing details are needed for "&amp;O235&amp;" facade"&amp;IF(O235&lt;&gt;1,"s","")</f>
        <v>Glazing details are needed for 0 facades</v>
      </c>
      <c r="R235" s="10"/>
      <c r="S235" s="10"/>
      <c r="T235" s="125" t="s">
        <v>269</v>
      </c>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row>
    <row r="236" spans="1:99" hidden="1" outlineLevel="1" x14ac:dyDescent="0.2">
      <c r="A236" s="10"/>
      <c r="B236" s="95" t="s">
        <v>97</v>
      </c>
      <c r="C236" s="10"/>
      <c r="D236" s="10"/>
      <c r="E236" s="95"/>
      <c r="F236" s="10"/>
      <c r="G236" s="10"/>
      <c r="H236" s="10"/>
      <c r="I236" s="10"/>
      <c r="J236" s="10"/>
      <c r="K236" s="10"/>
      <c r="L236" s="10"/>
      <c r="M236" s="10"/>
      <c r="N236" s="10"/>
      <c r="O236" s="340">
        <f>O221+O228</f>
        <v>0</v>
      </c>
      <c r="P236" s="481"/>
      <c r="Q236" s="86" t="str">
        <f>"Glazing area exceeds facade area in "&amp;O236&amp;" facade"&amp;IF(O236=1,"","s")</f>
        <v>Glazing area exceeds facade area in 0 facades</v>
      </c>
      <c r="R236" s="10"/>
      <c r="S236" s="10"/>
      <c r="T236" s="125" t="s">
        <v>270</v>
      </c>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row>
    <row r="237" spans="1:99" hidden="1" outlineLevel="1" x14ac:dyDescent="0.2">
      <c r="A237" s="10"/>
      <c r="B237" s="10"/>
      <c r="C237" s="10"/>
      <c r="D237" s="104"/>
      <c r="E237" s="104"/>
      <c r="F237" s="10"/>
      <c r="G237" s="10"/>
      <c r="H237" s="10"/>
      <c r="I237" s="10"/>
      <c r="J237" s="10"/>
      <c r="K237" s="10"/>
      <c r="L237" s="10"/>
      <c r="M237" s="10"/>
      <c r="N237" s="10"/>
      <c r="O237" s="339">
        <f>O222+O229</f>
        <v>0</v>
      </c>
      <c r="P237" s="93"/>
      <c r="Q237" s="86" t="str">
        <f>"Glazing is listed for "&amp;O237&amp;" facade"&amp;IF(O237=1,"","s")&amp;" with no area"</f>
        <v>Glazing is listed for 0 facades with no area</v>
      </c>
      <c r="R237" s="10"/>
      <c r="S237" s="10"/>
      <c r="T237" s="125" t="s">
        <v>271</v>
      </c>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row>
    <row r="238" spans="1:99" hidden="1" outlineLevel="1" x14ac:dyDescent="0.2">
      <c r="A238" s="10"/>
      <c r="B238" s="10"/>
      <c r="C238" s="10"/>
      <c r="D238" s="104"/>
      <c r="E238" s="104"/>
      <c r="F238" s="10"/>
      <c r="G238" s="10"/>
      <c r="H238" s="10"/>
      <c r="I238" s="10"/>
      <c r="J238" s="10"/>
      <c r="K238" s="10"/>
      <c r="L238" s="10"/>
      <c r="M238" s="10"/>
      <c r="N238" s="10"/>
      <c r="O238" s="340">
        <f>O231</f>
        <v>0</v>
      </c>
      <c r="P238" s="93"/>
      <c r="Q238" s="120" t="str">
        <f>O238&amp;" facade area"&amp;IF(O238=1,"","s")&amp;" given under inapplicable option"</f>
        <v>0 facade areas given under inapplicable option</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row>
    <row r="239" spans="1:99" hidden="1" outlineLevel="1" x14ac:dyDescent="0.2">
      <c r="A239" s="10"/>
      <c r="B239" s="10"/>
      <c r="C239" s="10"/>
      <c r="D239" s="104"/>
      <c r="E239" s="104"/>
      <c r="F239" s="10"/>
      <c r="G239" s="10"/>
      <c r="H239" s="10"/>
      <c r="I239" s="10"/>
      <c r="J239" s="10"/>
      <c r="K239" s="10"/>
      <c r="L239" s="10"/>
      <c r="M239" s="10"/>
      <c r="N239" s="10"/>
      <c r="O239" s="10"/>
      <c r="P239" s="349">
        <f>FacadeErrorsA+FacadeErrorsB+NoZoneTableActive</f>
        <v>0</v>
      </c>
      <c r="Q239" s="350" t="s">
        <v>280</v>
      </c>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row>
    <row r="240" spans="1:99" collapsed="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row>
    <row r="241" spans="1:99" hidden="1" outlineLevel="1" x14ac:dyDescent="0.2">
      <c r="A241" s="10"/>
      <c r="B241" s="72" t="s">
        <v>196</v>
      </c>
      <c r="C241" s="73"/>
      <c r="D241" s="73"/>
      <c r="E241" s="73"/>
      <c r="F241" s="73"/>
      <c r="G241" s="73"/>
      <c r="H241" s="73"/>
      <c r="I241" s="73"/>
      <c r="J241" s="73"/>
      <c r="K241" s="73"/>
      <c r="L241" s="73"/>
      <c r="M241" s="73"/>
      <c r="N241" s="73"/>
      <c r="O241" s="344"/>
      <c r="P241" s="73"/>
      <c r="Q241" s="73"/>
      <c r="R241" s="73"/>
      <c r="S241" s="73"/>
      <c r="T241" s="73"/>
      <c r="U241" s="73"/>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row>
    <row r="242" spans="1:99" ht="13.5" hidden="1" outlineLevel="1" thickBot="1" x14ac:dyDescent="0.25">
      <c r="A242" s="10"/>
      <c r="B242" s="10"/>
      <c r="C242" s="10"/>
      <c r="D242" s="104"/>
      <c r="E242" s="104"/>
      <c r="F242" s="125" t="s">
        <v>200</v>
      </c>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row>
    <row r="243" spans="1:99" ht="13.5" hidden="1" outlineLevel="1" thickBot="1" x14ac:dyDescent="0.25">
      <c r="A243" s="10"/>
      <c r="B243" s="10"/>
      <c r="C243" s="10"/>
      <c r="D243" s="10"/>
      <c r="E243" s="10"/>
      <c r="F243" s="277" t="str">
        <f>F22</f>
        <v>N</v>
      </c>
      <c r="G243" s="278" t="str">
        <f t="shared" ref="G243:M243" si="151">G22</f>
        <v>NE</v>
      </c>
      <c r="H243" s="278" t="str">
        <f t="shared" si="151"/>
        <v>E</v>
      </c>
      <c r="I243" s="278" t="str">
        <f t="shared" si="151"/>
        <v>SE</v>
      </c>
      <c r="J243" s="278" t="str">
        <f t="shared" si="151"/>
        <v>S</v>
      </c>
      <c r="K243" s="278" t="str">
        <f t="shared" si="151"/>
        <v>SW</v>
      </c>
      <c r="L243" s="278" t="str">
        <f t="shared" si="151"/>
        <v>W</v>
      </c>
      <c r="M243" s="278" t="str">
        <f t="shared" si="151"/>
        <v>NW</v>
      </c>
      <c r="N243" s="279" t="str">
        <f>N22</f>
        <v>internal</v>
      </c>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row>
    <row r="244" spans="1:99" hidden="1" outlineLevel="1" x14ac:dyDescent="0.2">
      <c r="A244" s="10"/>
      <c r="B244" s="10"/>
      <c r="C244" s="10"/>
      <c r="D244" s="10"/>
      <c r="E244" s="96" t="s">
        <v>92</v>
      </c>
      <c r="F244" s="274" t="e">
        <f>F209&lt;0</f>
        <v>#VALUE!</v>
      </c>
      <c r="G244" s="275" t="e">
        <f t="shared" ref="G244:M244" si="152">G209&lt;0</f>
        <v>#VALUE!</v>
      </c>
      <c r="H244" s="275" t="e">
        <f t="shared" si="152"/>
        <v>#VALUE!</v>
      </c>
      <c r="I244" s="275" t="e">
        <f t="shared" si="152"/>
        <v>#VALUE!</v>
      </c>
      <c r="J244" s="275" t="e">
        <f t="shared" si="152"/>
        <v>#VALUE!</v>
      </c>
      <c r="K244" s="275" t="e">
        <f t="shared" si="152"/>
        <v>#VALUE!</v>
      </c>
      <c r="L244" s="275" t="e">
        <f t="shared" si="152"/>
        <v>#VALUE!</v>
      </c>
      <c r="M244" s="275" t="e">
        <f t="shared" si="152"/>
        <v>#VALUE!</v>
      </c>
      <c r="N244" s="276" t="e">
        <f>N209&lt;0</f>
        <v>#VALUE!</v>
      </c>
      <c r="O244" s="187">
        <f>COUNTIF(F244:N244,TRUE)</f>
        <v>0</v>
      </c>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row>
    <row r="245" spans="1:99" ht="13.5" hidden="1" outlineLevel="1" thickBot="1" x14ac:dyDescent="0.25">
      <c r="A245" s="10"/>
      <c r="B245" s="10"/>
      <c r="C245" s="10"/>
      <c r="D245" s="10"/>
      <c r="E245" s="96" t="s">
        <v>90</v>
      </c>
      <c r="F245" s="192" t="e">
        <f t="shared" ref="F245:N245" si="153">IF(F244=TRUE,F22,"-")</f>
        <v>#VALUE!</v>
      </c>
      <c r="G245" s="136" t="e">
        <f t="shared" si="153"/>
        <v>#VALUE!</v>
      </c>
      <c r="H245" s="136" t="e">
        <f t="shared" si="153"/>
        <v>#VALUE!</v>
      </c>
      <c r="I245" s="136" t="e">
        <f t="shared" si="153"/>
        <v>#VALUE!</v>
      </c>
      <c r="J245" s="136" t="e">
        <f t="shared" si="153"/>
        <v>#VALUE!</v>
      </c>
      <c r="K245" s="136" t="e">
        <f t="shared" si="153"/>
        <v>#VALUE!</v>
      </c>
      <c r="L245" s="136" t="e">
        <f t="shared" si="153"/>
        <v>#VALUE!</v>
      </c>
      <c r="M245" s="136" t="e">
        <f t="shared" si="153"/>
        <v>#VALUE!</v>
      </c>
      <c r="N245" s="193" t="e">
        <f t="shared" si="153"/>
        <v>#VALUE!</v>
      </c>
      <c r="O245" s="125" t="s">
        <v>198</v>
      </c>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row>
    <row r="246" spans="1:99" hidden="1" outlineLevel="1" x14ac:dyDescent="0.2">
      <c r="A246" s="10"/>
      <c r="B246" s="10"/>
      <c r="C246" s="10"/>
      <c r="D246" s="96"/>
      <c r="E246" s="96"/>
      <c r="F246" s="71"/>
      <c r="G246" s="71"/>
      <c r="H246" s="71"/>
      <c r="I246" s="71"/>
      <c r="J246" s="71"/>
      <c r="K246" s="71"/>
      <c r="L246" s="71"/>
      <c r="M246" s="71"/>
      <c r="N246" s="71"/>
      <c r="O246" s="66"/>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row>
    <row r="247" spans="1:99" hidden="1" outlineLevel="1" x14ac:dyDescent="0.2">
      <c r="A247" s="10"/>
      <c r="B247" s="186" t="s">
        <v>197</v>
      </c>
      <c r="C247" s="10"/>
      <c r="D247" s="10"/>
      <c r="E247" s="10"/>
      <c r="F247" s="10"/>
      <c r="G247" s="10"/>
      <c r="H247" s="10"/>
      <c r="I247" s="10"/>
      <c r="J247" s="10"/>
      <c r="K247" s="10"/>
      <c r="L247" s="10"/>
      <c r="M247" s="10"/>
      <c r="N247" s="10"/>
      <c r="O247" s="76"/>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row>
    <row r="248" spans="1:99" ht="13.5" hidden="1" outlineLevel="1" thickBot="1" x14ac:dyDescent="0.25">
      <c r="A248" s="10"/>
      <c r="B248" s="10"/>
      <c r="C248" s="10"/>
      <c r="D248" s="104"/>
      <c r="E248" s="104"/>
      <c r="F248" s="125" t="s">
        <v>201</v>
      </c>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row>
    <row r="249" spans="1:99" ht="13.5" hidden="1" outlineLevel="1" thickBot="1" x14ac:dyDescent="0.25">
      <c r="A249" s="10"/>
      <c r="B249" s="10"/>
      <c r="C249" s="10"/>
      <c r="D249" s="10"/>
      <c r="E249" s="10"/>
      <c r="F249" s="283" t="str">
        <f>F22</f>
        <v>N</v>
      </c>
      <c r="G249" s="284" t="str">
        <f t="shared" ref="G249:M249" si="154">G22</f>
        <v>NE</v>
      </c>
      <c r="H249" s="284" t="str">
        <f t="shared" si="154"/>
        <v>E</v>
      </c>
      <c r="I249" s="284" t="str">
        <f t="shared" si="154"/>
        <v>SE</v>
      </c>
      <c r="J249" s="284" t="str">
        <f t="shared" si="154"/>
        <v>S</v>
      </c>
      <c r="K249" s="284" t="str">
        <f t="shared" si="154"/>
        <v>SW</v>
      </c>
      <c r="L249" s="284" t="str">
        <f t="shared" si="154"/>
        <v>W</v>
      </c>
      <c r="M249" s="285" t="str">
        <f t="shared" si="154"/>
        <v>NW</v>
      </c>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row>
    <row r="250" spans="1:99" hidden="1" outlineLevel="1" x14ac:dyDescent="0.2">
      <c r="A250" s="10"/>
      <c r="B250" s="10"/>
      <c r="C250" s="10"/>
      <c r="D250" s="10"/>
      <c r="E250" s="96" t="s">
        <v>92</v>
      </c>
      <c r="F250" s="280" t="e">
        <f>F214&lt;0</f>
        <v>#VALUE!</v>
      </c>
      <c r="G250" s="281" t="e">
        <f t="shared" ref="G250:M250" si="155">G214&lt;0</f>
        <v>#VALUE!</v>
      </c>
      <c r="H250" s="281" t="e">
        <f t="shared" si="155"/>
        <v>#VALUE!</v>
      </c>
      <c r="I250" s="281" t="e">
        <f t="shared" si="155"/>
        <v>#VALUE!</v>
      </c>
      <c r="J250" s="281" t="e">
        <f t="shared" si="155"/>
        <v>#VALUE!</v>
      </c>
      <c r="K250" s="281" t="e">
        <f t="shared" si="155"/>
        <v>#VALUE!</v>
      </c>
      <c r="L250" s="281" t="e">
        <f t="shared" si="155"/>
        <v>#VALUE!</v>
      </c>
      <c r="M250" s="282" t="e">
        <f t="shared" si="155"/>
        <v>#VALUE!</v>
      </c>
      <c r="N250" s="10"/>
      <c r="O250" s="201">
        <f>COUNTIF(F250:N250,TRUE)</f>
        <v>0</v>
      </c>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row>
    <row r="251" spans="1:99" ht="13.5" hidden="1" outlineLevel="1" thickBot="1" x14ac:dyDescent="0.25">
      <c r="A251" s="10"/>
      <c r="B251" s="10"/>
      <c r="C251" s="10"/>
      <c r="D251" s="10"/>
      <c r="E251" s="96" t="s">
        <v>90</v>
      </c>
      <c r="F251" s="192" t="e">
        <f t="shared" ref="F251:M251" si="156">IF(F250=TRUE,F22,"-")</f>
        <v>#VALUE!</v>
      </c>
      <c r="G251" s="136" t="e">
        <f t="shared" si="156"/>
        <v>#VALUE!</v>
      </c>
      <c r="H251" s="136" t="e">
        <f t="shared" si="156"/>
        <v>#VALUE!</v>
      </c>
      <c r="I251" s="136" t="e">
        <f t="shared" si="156"/>
        <v>#VALUE!</v>
      </c>
      <c r="J251" s="136" t="e">
        <f t="shared" si="156"/>
        <v>#VALUE!</v>
      </c>
      <c r="K251" s="136" t="e">
        <f t="shared" si="156"/>
        <v>#VALUE!</v>
      </c>
      <c r="L251" s="136" t="e">
        <f t="shared" si="156"/>
        <v>#VALUE!</v>
      </c>
      <c r="M251" s="193" t="e">
        <f t="shared" si="156"/>
        <v>#VALUE!</v>
      </c>
      <c r="N251" s="10"/>
      <c r="O251" s="125" t="s">
        <v>199</v>
      </c>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row>
    <row r="252" spans="1:99" collapsed="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row>
    <row r="253" spans="1:99"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row>
    <row r="254" spans="1:99"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row>
    <row r="255" spans="1:99"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row>
    <row r="256" spans="1:99"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row>
    <row r="257" spans="1:99"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row>
    <row r="258" spans="1:99"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row>
    <row r="259" spans="1:99"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row>
    <row r="260" spans="1:99"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row>
    <row r="261" spans="1:99"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row>
    <row r="262" spans="1:99"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row>
    <row r="263" spans="1:99"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row>
    <row r="264" spans="1:99"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row>
    <row r="265" spans="1:99"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row>
    <row r="266" spans="1:99"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row>
    <row r="267" spans="1:99"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row>
    <row r="268" spans="1:99"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row>
    <row r="269" spans="1:99"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row>
    <row r="270" spans="1:99"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row>
    <row r="271" spans="1:99"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row>
    <row r="272" spans="1:99"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row>
    <row r="273" spans="1:99"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row>
    <row r="274" spans="1:99"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row>
    <row r="275" spans="1:99"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row>
    <row r="276" spans="1:99"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row>
    <row r="277" spans="1:99"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row>
    <row r="278" spans="1:99"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row>
    <row r="279" spans="1:99"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row>
    <row r="280" spans="1:99"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row>
    <row r="281" spans="1:99"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row>
    <row r="282" spans="1:99"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row>
  </sheetData>
  <sheetProtection password="EFF1" sheet="1" objects="1" scenarios="1" selectLockedCells="1" autoFilter="0"/>
  <autoFilter ref="B32:B112">
    <filterColumn colId="0">
      <filters>
        <filter val="10"/>
      </filters>
    </filterColumn>
  </autoFilter>
  <mergeCells count="96">
    <mergeCell ref="D87:E87"/>
    <mergeCell ref="D77:E77"/>
    <mergeCell ref="D82:E82"/>
    <mergeCell ref="D83:E83"/>
    <mergeCell ref="D84:E84"/>
    <mergeCell ref="D85:E85"/>
    <mergeCell ref="D86:E86"/>
    <mergeCell ref="D78:E78"/>
    <mergeCell ref="D79:E79"/>
    <mergeCell ref="D80:E80"/>
    <mergeCell ref="D81:E81"/>
    <mergeCell ref="D92:E92"/>
    <mergeCell ref="D93:E93"/>
    <mergeCell ref="D88:E88"/>
    <mergeCell ref="D89:E89"/>
    <mergeCell ref="D90:E90"/>
    <mergeCell ref="D91:E91"/>
    <mergeCell ref="D94:E94"/>
    <mergeCell ref="D95:E95"/>
    <mergeCell ref="D96:E96"/>
    <mergeCell ref="D97:E97"/>
    <mergeCell ref="D98:E98"/>
    <mergeCell ref="D99:E99"/>
    <mergeCell ref="D100:E100"/>
    <mergeCell ref="D101:E101"/>
    <mergeCell ref="D108:E108"/>
    <mergeCell ref="D109:E109"/>
    <mergeCell ref="D110:E110"/>
    <mergeCell ref="D111:E111"/>
    <mergeCell ref="D102:E102"/>
    <mergeCell ref="D103:E103"/>
    <mergeCell ref="D104:E104"/>
    <mergeCell ref="D105:E105"/>
    <mergeCell ref="D106:E106"/>
    <mergeCell ref="D107:E107"/>
    <mergeCell ref="D72:E72"/>
    <mergeCell ref="D73:E73"/>
    <mergeCell ref="D74:E74"/>
    <mergeCell ref="D75:E75"/>
    <mergeCell ref="D76:E76"/>
    <mergeCell ref="D32:E32"/>
    <mergeCell ref="F31:G31"/>
    <mergeCell ref="D37:E37"/>
    <mergeCell ref="D38:E38"/>
    <mergeCell ref="D33:E33"/>
    <mergeCell ref="D34:E34"/>
    <mergeCell ref="D35:E35"/>
    <mergeCell ref="D36:E36"/>
    <mergeCell ref="B20:N20"/>
    <mergeCell ref="P20:R20"/>
    <mergeCell ref="B22:D22"/>
    <mergeCell ref="O30:T30"/>
    <mergeCell ref="Q31:R31"/>
    <mergeCell ref="O31:P31"/>
    <mergeCell ref="M31:N31"/>
    <mergeCell ref="O22:T22"/>
    <mergeCell ref="M30:N30"/>
    <mergeCell ref="O23:T23"/>
    <mergeCell ref="O24:T24"/>
    <mergeCell ref="O25:T25"/>
    <mergeCell ref="O26:T26"/>
    <mergeCell ref="D66:E66"/>
    <mergeCell ref="D67:E67"/>
    <mergeCell ref="D54:E54"/>
    <mergeCell ref="D55:E55"/>
    <mergeCell ref="D53:E53"/>
    <mergeCell ref="D39:E39"/>
    <mergeCell ref="D40:E40"/>
    <mergeCell ref="D50:E50"/>
    <mergeCell ref="D45:E45"/>
    <mergeCell ref="D52:E52"/>
    <mergeCell ref="D46:E46"/>
    <mergeCell ref="D44:E44"/>
    <mergeCell ref="D47:E47"/>
    <mergeCell ref="D48:E48"/>
    <mergeCell ref="D49:E49"/>
    <mergeCell ref="D51:E51"/>
    <mergeCell ref="D42:E42"/>
    <mergeCell ref="D43:E43"/>
    <mergeCell ref="D41:E41"/>
    <mergeCell ref="B114:P114"/>
    <mergeCell ref="D70:E70"/>
    <mergeCell ref="D71:E71"/>
    <mergeCell ref="D112:E112"/>
    <mergeCell ref="D56:E56"/>
    <mergeCell ref="D58:E58"/>
    <mergeCell ref="D59:E59"/>
    <mergeCell ref="D57:E57"/>
    <mergeCell ref="D60:E60"/>
    <mergeCell ref="D61:E61"/>
    <mergeCell ref="D69:E69"/>
    <mergeCell ref="D62:E62"/>
    <mergeCell ref="D68:E68"/>
    <mergeCell ref="D63:E63"/>
    <mergeCell ref="D64:E64"/>
    <mergeCell ref="D65:E65"/>
  </mergeCells>
  <phoneticPr fontId="2" type="noConversion"/>
  <conditionalFormatting sqref="Q235:Q238 Q227:Q231 Q220:Q224">
    <cfRule type="expression" dxfId="126" priority="72" stopIfTrue="1">
      <formula>O220&gt;0</formula>
    </cfRule>
  </conditionalFormatting>
  <conditionalFormatting sqref="BV33:BV112">
    <cfRule type="expression" dxfId="125" priority="73" stopIfTrue="1">
      <formula>BV33&lt;&gt;BU33</formula>
    </cfRule>
  </conditionalFormatting>
  <conditionalFormatting sqref="BU33:BU112">
    <cfRule type="expression" dxfId="124" priority="74" stopIfTrue="1">
      <formula>AND(AllErrors=0,CC33&lt;&gt;0)</formula>
    </cfRule>
  </conditionalFormatting>
  <conditionalFormatting sqref="AY33:AY112">
    <cfRule type="expression" dxfId="123" priority="75" stopIfTrue="1">
      <formula>AND(AE34&lt;&gt;0,LEN(AY33)&gt;0)</formula>
    </cfRule>
    <cfRule type="expression" dxfId="122" priority="76" stopIfTrue="1">
      <formula>LEN(AY33)&gt;0</formula>
    </cfRule>
  </conditionalFormatting>
  <conditionalFormatting sqref="BK33:BK112">
    <cfRule type="expression" dxfId="121" priority="78" stopIfTrue="1">
      <formula>AND(ISNUMBER(P33),P33&gt;Glimit)</formula>
    </cfRule>
    <cfRule type="cellIs" dxfId="120" priority="79" stopIfTrue="1" operator="greaterThan">
      <formula>0</formula>
    </cfRule>
  </conditionalFormatting>
  <conditionalFormatting sqref="O28:T28">
    <cfRule type="expression" dxfId="119" priority="123" stopIfTrue="1">
      <formula>$O28=""</formula>
    </cfRule>
  </conditionalFormatting>
  <conditionalFormatting sqref="V3013:IV12526">
    <cfRule type="expression" dxfId="118" priority="126" stopIfTrue="1">
      <formula>AND($S3012&gt;0,ISBLANK(V3013))</formula>
    </cfRule>
    <cfRule type="expression" dxfId="117" priority="127" stopIfTrue="1">
      <formula>$S3012&gt;0</formula>
    </cfRule>
  </conditionalFormatting>
  <conditionalFormatting sqref="F25:N25">
    <cfRule type="expression" dxfId="116" priority="377" stopIfTrue="1">
      <formula>F221=FALSE</formula>
    </cfRule>
  </conditionalFormatting>
  <conditionalFormatting sqref="B20:N20">
    <cfRule type="expression" dxfId="115" priority="378" stopIfTrue="1">
      <formula>$F146=TRUE</formula>
    </cfRule>
    <cfRule type="expression" dxfId="114" priority="379" stopIfTrue="1">
      <formula>$F$145=TRUE</formula>
    </cfRule>
  </conditionalFormatting>
  <conditionalFormatting sqref="P20:R20">
    <cfRule type="expression" dxfId="113" priority="380" stopIfTrue="1">
      <formula>F148=TRUE</formula>
    </cfRule>
    <cfRule type="expression" dxfId="112" priority="381" stopIfTrue="1">
      <formula>F147=TRUE</formula>
    </cfRule>
  </conditionalFormatting>
  <conditionalFormatting sqref="T20">
    <cfRule type="expression" dxfId="111" priority="382" stopIfTrue="1">
      <formula>NoZoneTableActive=TRUE</formula>
    </cfRule>
    <cfRule type="expression" dxfId="110" priority="383" stopIfTrue="1">
      <formula>F149=TRUE</formula>
    </cfRule>
  </conditionalFormatting>
  <conditionalFormatting sqref="B22:D22">
    <cfRule type="expression" dxfId="109" priority="384" stopIfTrue="1">
      <formula>F153=TRUE</formula>
    </cfRule>
    <cfRule type="expression" dxfId="108" priority="385" stopIfTrue="1">
      <formula>F152=TRUE</formula>
    </cfRule>
  </conditionalFormatting>
  <conditionalFormatting sqref="F24:M24">
    <cfRule type="expression" dxfId="107" priority="386" stopIfTrue="1">
      <formula>OR(F228=TRUE,F229=TRUE)</formula>
    </cfRule>
    <cfRule type="expression" dxfId="106" priority="387" stopIfTrue="1">
      <formula>AND(COUNTA(TableInputs)&gt;0,F227=TRUE)</formula>
    </cfRule>
  </conditionalFormatting>
  <conditionalFormatting sqref="B33:B112">
    <cfRule type="expression" dxfId="105" priority="389" stopIfTrue="1">
      <formula>AD33=TRUE</formula>
    </cfRule>
  </conditionalFormatting>
  <conditionalFormatting sqref="C33:C112">
    <cfRule type="expression" dxfId="104" priority="391" stopIfTrue="1">
      <formula>AD33=TRUE</formula>
    </cfRule>
    <cfRule type="expression" dxfId="103" priority="392" stopIfTrue="1">
      <formula>OR(COUNTA(D33)&gt;0,AF33=TRUE)</formula>
    </cfRule>
  </conditionalFormatting>
  <conditionalFormatting sqref="F33:F112">
    <cfRule type="expression" dxfId="102" priority="4" stopIfTrue="1">
      <formula>OR(AJ33=TRUE,AL33=TRUE,AND(CA33=TRUE,BC33=TRUE))</formula>
    </cfRule>
    <cfRule type="expression" dxfId="101" priority="395" stopIfTrue="1">
      <formula>AND(AG33=TRUE,AI33=TRUE)</formula>
    </cfRule>
    <cfRule type="expression" dxfId="100" priority="396" stopIfTrue="1">
      <formula>AG33=FALSE</formula>
    </cfRule>
    <cfRule type="expression" dxfId="99" priority="397" stopIfTrue="1">
      <formula>AD33=TRUE</formula>
    </cfRule>
  </conditionalFormatting>
  <conditionalFormatting sqref="G33:G112">
    <cfRule type="expression" dxfId="98" priority="398" stopIfTrue="1">
      <formula>OR(AJ33=TRUE,AM33=TRUE,AND(CB33=TRUE,BC33=TRUE))</formula>
    </cfRule>
    <cfRule type="expression" dxfId="97" priority="399" stopIfTrue="1">
      <formula>AH33=FALSE</formula>
    </cfRule>
    <cfRule type="expression" dxfId="96" priority="400" stopIfTrue="1">
      <formula>AD33=TRUE</formula>
    </cfRule>
  </conditionalFormatting>
  <conditionalFormatting sqref="H33:H112">
    <cfRule type="expression" dxfId="95" priority="401" stopIfTrue="1">
      <formula>OR(AND(H33&gt;0,AD33=FALSE),BC33=TRUE)</formula>
    </cfRule>
    <cfRule type="expression" dxfId="94" priority="402" stopIfTrue="1">
      <formula>AN33=TRUE</formula>
    </cfRule>
    <cfRule type="expression" dxfId="93" priority="403" stopIfTrue="1">
      <formula>AD33=TRUE</formula>
    </cfRule>
  </conditionalFormatting>
  <conditionalFormatting sqref="I33:I112">
    <cfRule type="expression" dxfId="92" priority="3" stopIfTrue="1">
      <formula>OR(AND(I33&gt;0,AD33=FALSE),BC33=TRUE)</formula>
    </cfRule>
    <cfRule type="expression" dxfId="91" priority="404" stopIfTrue="1">
      <formula>AND(AO33=TRUE,ISBLANK(I33))</formula>
    </cfRule>
    <cfRule type="expression" dxfId="90" priority="405" stopIfTrue="1">
      <formula>AND(AD33=TRUE,AP33=TRUE)</formula>
    </cfRule>
    <cfRule type="expression" dxfId="89" priority="406" stopIfTrue="1">
      <formula>AD33=TRUE</formula>
    </cfRule>
  </conditionalFormatting>
  <conditionalFormatting sqref="J33:J112">
    <cfRule type="expression" dxfId="88" priority="2" stopIfTrue="1">
      <formula>OR(AND(J33&gt;0,AD33=FALSE),AND(J33&gt;0,BC33=TRUE))</formula>
    </cfRule>
    <cfRule type="expression" dxfId="87" priority="407" stopIfTrue="1">
      <formula>AND(AO33=TRUE,ISBLANK(I33),ISBLANK(J33))</formula>
    </cfRule>
    <cfRule type="expression" dxfId="86" priority="408" stopIfTrue="1">
      <formula>OR(AND(ISBLANK(J33),AD33=TRUE),AND(AD33=TRUE,OR(AP33=0,AP33=TRUE)))</formula>
    </cfRule>
  </conditionalFormatting>
  <conditionalFormatting sqref="K33:K112">
    <cfRule type="expression" dxfId="85" priority="410" stopIfTrue="1">
      <formula>OR(AND(K33&gt;0,AD33=FALSE),BC33=TRUE)</formula>
    </cfRule>
    <cfRule type="expression" dxfId="84" priority="411" stopIfTrue="1">
      <formula>AQ33=TRUE</formula>
    </cfRule>
    <cfRule type="expression" dxfId="83" priority="412" stopIfTrue="1">
      <formula>AD33=TRUE</formula>
    </cfRule>
  </conditionalFormatting>
  <conditionalFormatting sqref="L33:L112">
    <cfRule type="expression" dxfId="82" priority="413" stopIfTrue="1">
      <formula>OR(AND(L33&gt;0,AD33=FALSE),BC33=TRUE)</formula>
    </cfRule>
    <cfRule type="expression" dxfId="81" priority="414" stopIfTrue="1">
      <formula>AR33=TRUE</formula>
    </cfRule>
    <cfRule type="expression" dxfId="80" priority="415" stopIfTrue="1">
      <formula>AD33=TRUE</formula>
    </cfRule>
  </conditionalFormatting>
  <conditionalFormatting sqref="M33:M112">
    <cfRule type="expression" dxfId="79" priority="1" stopIfTrue="1">
      <formula>OR(AND(M33&gt;0,AD33=FALSE),AS33=TRUE,BC33=TRUE)</formula>
    </cfRule>
    <cfRule type="expression" dxfId="78" priority="416" stopIfTrue="1">
      <formula>AU33=TRUE</formula>
    </cfRule>
    <cfRule type="expression" dxfId="77" priority="417" stopIfTrue="1">
      <formula>AND(AD33=TRUE,OR(AT33=TRUE,AU33=TRUE,AZ33=TRUE))</formula>
    </cfRule>
    <cfRule type="expression" dxfId="76" priority="418" stopIfTrue="1">
      <formula>AND(AD33=TRUE,F33&lt;&gt;"internal")</formula>
    </cfRule>
  </conditionalFormatting>
  <conditionalFormatting sqref="N33:N112">
    <cfRule type="expression" dxfId="75" priority="419" stopIfTrue="1">
      <formula>OR(AND(N33&gt;0,AD33=FALSE),AU33=TRUE,BC33=TRUE)</formula>
    </cfRule>
    <cfRule type="expression" dxfId="74" priority="420" stopIfTrue="1">
      <formula>AND(AD33=TRUE,AT33=TRUE)</formula>
    </cfRule>
    <cfRule type="expression" dxfId="73" priority="421" stopIfTrue="1">
      <formula>AND(AD33=TRUE,F33&lt;&gt;"internal")</formula>
    </cfRule>
  </conditionalFormatting>
  <conditionalFormatting sqref="F26:M26">
    <cfRule type="expression" dxfId="72" priority="434" stopIfTrue="1">
      <formula>F228=FALSE</formula>
    </cfRule>
  </conditionalFormatting>
  <conditionalFormatting sqref="O22:T22">
    <cfRule type="expression" dxfId="71" priority="435" stopIfTrue="1">
      <formula>$AY22=""</formula>
    </cfRule>
  </conditionalFormatting>
  <conditionalFormatting sqref="O23:T23">
    <cfRule type="expression" dxfId="70" priority="19">
      <formula>AND($AY23="",$AY24="")</formula>
    </cfRule>
    <cfRule type="expression" dxfId="69" priority="436">
      <formula>$AY23&lt;&gt;""</formula>
    </cfRule>
  </conditionalFormatting>
  <conditionalFormatting sqref="F227:M229 F231:M231 F220:N222 AF33:AF112 AS33:AS112 AU33:AU112 BC33:BC112 AJ33:AM112">
    <cfRule type="cellIs" dxfId="68" priority="156" stopIfTrue="1" operator="equal">
      <formula>TRUE</formula>
    </cfRule>
  </conditionalFormatting>
  <conditionalFormatting sqref="CA33:CB112">
    <cfRule type="cellIs" dxfId="67" priority="149" stopIfTrue="1" operator="equal">
      <formula>1</formula>
    </cfRule>
  </conditionalFormatting>
  <conditionalFormatting sqref="AD33:AD112 AV33:AW112">
    <cfRule type="cellIs" dxfId="66" priority="150" stopIfTrue="1" operator="equal">
      <formula>TRUE</formula>
    </cfRule>
  </conditionalFormatting>
  <conditionalFormatting sqref="AC31:AF31">
    <cfRule type="cellIs" dxfId="65" priority="151" stopIfTrue="1" operator="greaterThan">
      <formula>0</formula>
    </cfRule>
  </conditionalFormatting>
  <conditionalFormatting sqref="AC33:AC112 AE33:AE112">
    <cfRule type="cellIs" dxfId="64" priority="152" stopIfTrue="1" operator="notEqual">
      <formula>0</formula>
    </cfRule>
  </conditionalFormatting>
  <conditionalFormatting sqref="AI31:AU31">
    <cfRule type="cellIs" dxfId="63" priority="155" stopIfTrue="1" operator="greaterThan">
      <formula>0</formula>
    </cfRule>
  </conditionalFormatting>
  <conditionalFormatting sqref="AX33:AX112">
    <cfRule type="cellIs" dxfId="62" priority="157" stopIfTrue="1" operator="notEqual">
      <formula>0</formula>
    </cfRule>
  </conditionalFormatting>
  <conditionalFormatting sqref="BA33:BB112">
    <cfRule type="cellIs" dxfId="61" priority="158" stopIfTrue="1" operator="equal">
      <formula>TRUE</formula>
    </cfRule>
  </conditionalFormatting>
  <conditionalFormatting sqref="AZ33:AZ112">
    <cfRule type="cellIs" dxfId="60" priority="159" stopIfTrue="1" operator="equal">
      <formula>TRUE</formula>
    </cfRule>
  </conditionalFormatting>
  <conditionalFormatting sqref="AP33:AP112">
    <cfRule type="cellIs" dxfId="59" priority="160" stopIfTrue="1" operator="equal">
      <formula>TRUE</formula>
    </cfRule>
  </conditionalFormatting>
  <conditionalFormatting sqref="BI33:BJ112">
    <cfRule type="cellIs" dxfId="58" priority="161" stopIfTrue="1" operator="equal">
      <formula>FALSE</formula>
    </cfRule>
    <cfRule type="cellIs" dxfId="57" priority="162" stopIfTrue="1" operator="notEqual">
      <formula>0</formula>
    </cfRule>
  </conditionalFormatting>
  <conditionalFormatting sqref="CD33:CE112">
    <cfRule type="cellIs" dxfId="56" priority="163" stopIfTrue="1" operator="equal">
      <formula>""</formula>
    </cfRule>
  </conditionalFormatting>
  <conditionalFormatting sqref="BE33:BH112">
    <cfRule type="cellIs" dxfId="55" priority="164" stopIfTrue="1" operator="equal">
      <formula>0</formula>
    </cfRule>
  </conditionalFormatting>
  <conditionalFormatting sqref="F169">
    <cfRule type="cellIs" dxfId="54" priority="165" stopIfTrue="1" operator="greaterThan">
      <formula>0</formula>
    </cfRule>
  </conditionalFormatting>
  <conditionalFormatting sqref="F158:G158 F162 F152:F154 F145:F150 F170">
    <cfRule type="cellIs" dxfId="53" priority="166" stopIfTrue="1" operator="equal">
      <formula>TRUE</formula>
    </cfRule>
  </conditionalFormatting>
  <conditionalFormatting sqref="H28">
    <cfRule type="expression" dxfId="52" priority="171" stopIfTrue="1">
      <formula>RowsPreferred&lt;&gt;RowsDisplayed</formula>
    </cfRule>
  </conditionalFormatting>
  <conditionalFormatting sqref="G28">
    <cfRule type="expression" dxfId="51" priority="172" stopIfTrue="1">
      <formula>ActiveHidden&gt;0</formula>
    </cfRule>
  </conditionalFormatting>
  <conditionalFormatting sqref="S20">
    <cfRule type="expression" dxfId="50" priority="199" stopIfTrue="1">
      <formula>NoZone=1</formula>
    </cfRule>
  </conditionalFormatting>
  <conditionalFormatting sqref="O25">
    <cfRule type="expression" dxfId="49" priority="202" stopIfTrue="1">
      <formula>SurplusGlazingA=0</formula>
    </cfRule>
  </conditionalFormatting>
  <conditionalFormatting sqref="O26">
    <cfRule type="expression" dxfId="48" priority="203" stopIfTrue="1">
      <formula>SurplusGlazingB=0</formula>
    </cfRule>
  </conditionalFormatting>
  <conditionalFormatting sqref="E23">
    <cfRule type="expression" dxfId="47" priority="204" stopIfTrue="1">
      <formula>Zone=8</formula>
    </cfRule>
  </conditionalFormatting>
  <conditionalFormatting sqref="K150">
    <cfRule type="expression" dxfId="46" priority="67" stopIfTrue="1">
      <formula>AND(NoZoneTableActive=FALSE,ISBLANK(Zone))</formula>
    </cfRule>
  </conditionalFormatting>
  <conditionalFormatting sqref="E24">
    <cfRule type="expression" dxfId="45" priority="365" stopIfTrue="1">
      <formula>$O$231&lt;&gt;0</formula>
    </cfRule>
    <cfRule type="expression" dxfId="44" priority="366" stopIfTrue="1">
      <formula>Zone=8</formula>
    </cfRule>
  </conditionalFormatting>
  <conditionalFormatting sqref="F32">
    <cfRule type="expression" dxfId="43" priority="465" stopIfTrue="1">
      <formula>NumberActive&gt;0</formula>
    </cfRule>
  </conditionalFormatting>
  <conditionalFormatting sqref="G32">
    <cfRule type="expression" dxfId="42" priority="467" stopIfTrue="1">
      <formula>NumberActiveLowR&gt;0</formula>
    </cfRule>
  </conditionalFormatting>
  <conditionalFormatting sqref="B32">
    <cfRule type="expression" dxfId="41" priority="468" stopIfTrue="1">
      <formula>OR(RowsPreferred&lt;&gt;RowsDisplayed,ActiveHidden&lt;&gt;0)</formula>
    </cfRule>
  </conditionalFormatting>
  <conditionalFormatting sqref="T114">
    <cfRule type="expression" dxfId="40" priority="469" stopIfTrue="1">
      <formula>OR(AllInputsOK=FALSE,SUM(AreaUsed)=0)</formula>
    </cfRule>
    <cfRule type="expression" dxfId="39" priority="470" stopIfTrue="1">
      <formula>ComplianceErrorsTotal&lt;&gt;0</formula>
    </cfRule>
    <cfRule type="expression" dxfId="38" priority="471" stopIfTrue="1">
      <formula>ComplianceErrorsTotal=0</formula>
    </cfRule>
  </conditionalFormatting>
  <conditionalFormatting sqref="AI33:AI112 AN33:AO112 AQ33:AR112 AT33:AT112">
    <cfRule type="cellIs" dxfId="37" priority="475" stopIfTrue="1" operator="equal">
      <formula>TRUE</formula>
    </cfRule>
  </conditionalFormatting>
  <conditionalFormatting sqref="AG33:AH112">
    <cfRule type="cellIs" dxfId="36" priority="476" stopIfTrue="1" operator="equal">
      <formula>TRUE</formula>
    </cfRule>
  </conditionalFormatting>
  <conditionalFormatting sqref="F22:N22">
    <cfRule type="expression" dxfId="35" priority="479" stopIfTrue="1">
      <formula>AND(UnusedFacades&gt;0,OR(F220=TRUE,F227=TRUE))</formula>
    </cfRule>
    <cfRule type="expression" dxfId="34" priority="480" stopIfTrue="1">
      <formula>AND(SUM(F23:F24)=0,COUNTIF($F$220:F220,TRUE)=0,COUNTIF($F227:F227,TRUE)=0)</formula>
    </cfRule>
    <cfRule type="expression" dxfId="33" priority="481" stopIfTrue="1">
      <formula>AND(SUM(F23:F24)&gt;0,COUNTIF($F$220:F220,TRUE)=0,COUNTIF($F227:F227,TRUE)=0)</formula>
    </cfRule>
  </conditionalFormatting>
  <conditionalFormatting sqref="F23:N23">
    <cfRule type="expression" dxfId="32" priority="482" stopIfTrue="1">
      <formula>OR(F221=TRUE,F222=TRUE)</formula>
    </cfRule>
    <cfRule type="expression" dxfId="31" priority="483" stopIfTrue="1">
      <formula>AND(COUNTA(TableInputs)&gt;0,F220=TRUE)</formula>
    </cfRule>
    <cfRule type="expression" dxfId="30" priority="484" stopIfTrue="1">
      <formula>AND(COUNTIF(F$221:$F222,TRUE)=0,COUNTIF(F$228:$F229,TRUE)=0)</formula>
    </cfRule>
  </conditionalFormatting>
  <conditionalFormatting sqref="O30:T30">
    <cfRule type="expression" dxfId="29" priority="486" stopIfTrue="1">
      <formula>VisibleFailures&gt;0</formula>
    </cfRule>
    <cfRule type="expression" dxfId="28" priority="487" stopIfTrue="1">
      <formula>AND(AllInputsOK=TRUE,ComplianceErrorsTotal=0)</formula>
    </cfRule>
  </conditionalFormatting>
  <conditionalFormatting sqref="O33:O112">
    <cfRule type="expression" dxfId="27" priority="422" stopIfTrue="1">
      <formula>AND(AV33=TRUE,OR(M33="device",F33="internal",O33&gt;2))</formula>
    </cfRule>
    <cfRule type="expression" dxfId="26" priority="423" stopIfTrue="1">
      <formula>AND(AV33=TRUE,AZ33=TRUE)</formula>
    </cfRule>
    <cfRule type="expression" dxfId="25" priority="424" stopIfTrue="1">
      <formula>OR(AC33=0,AV33=FALSE)</formula>
    </cfRule>
  </conditionalFormatting>
  <conditionalFormatting sqref="P33:P112">
    <cfRule type="expression" dxfId="24" priority="425" stopIfTrue="1">
      <formula>AND(AV33=TRUE,P33&gt;Glimit)</formula>
    </cfRule>
    <cfRule type="expression" dxfId="23" priority="426" stopIfTrue="1">
      <formula>OR(AC33=0,AV33=FALSE)</formula>
    </cfRule>
  </conditionalFormatting>
  <conditionalFormatting sqref="Q33:Q112">
    <cfRule type="expression" dxfId="22" priority="63" stopIfTrue="1">
      <formula>AND(AV33=TRUE,P33&gt;Glimit)</formula>
    </cfRule>
    <cfRule type="expression" dxfId="21" priority="427" stopIfTrue="1">
      <formula>OR(AC33=0,AV33=FALSE)</formula>
    </cfRule>
  </conditionalFormatting>
  <conditionalFormatting sqref="R33:R112">
    <cfRule type="expression" dxfId="20" priority="429" stopIfTrue="1">
      <formula>AND(AV33=TRUE,P33&gt;Glimit)</formula>
    </cfRule>
    <cfRule type="expression" dxfId="19" priority="430" stopIfTrue="1">
      <formula>OR(AC33=0,AV33=FALSE)</formula>
    </cfRule>
  </conditionalFormatting>
  <conditionalFormatting sqref="S33:S112">
    <cfRule type="expression" dxfId="18" priority="477" stopIfTrue="1">
      <formula>AND(AV33=TRUE,I33&gt;0,J33&gt;0,J33&lt;&gt;H33*I33)</formula>
    </cfRule>
    <cfRule type="expression" dxfId="17" priority="478" stopIfTrue="1">
      <formula>OR(AC33=0,AV33=FALSE)</formula>
    </cfRule>
  </conditionalFormatting>
  <conditionalFormatting sqref="T33:T112">
    <cfRule type="expression" dxfId="16" priority="431" stopIfTrue="1">
      <formula>AND(TopOKwithActive=TRUE,AD33=TRUE,ShowPass=TRUE)</formula>
    </cfRule>
    <cfRule type="expression" dxfId="15" priority="432" stopIfTrue="1">
      <formula>BC33=TRUE</formula>
    </cfRule>
    <cfRule type="expression" dxfId="14" priority="433" stopIfTrue="1">
      <formula>OR(AC33=0,AV33=FALSE)</formula>
    </cfRule>
  </conditionalFormatting>
  <conditionalFormatting sqref="O24:T24">
    <cfRule type="expression" dxfId="13" priority="18">
      <formula>AND($AY23="",$AY24="")</formula>
    </cfRule>
    <cfRule type="expression" dxfId="12" priority="20">
      <formula>$AY24&lt;&gt;""</formula>
    </cfRule>
  </conditionalFormatting>
  <conditionalFormatting sqref="B19">
    <cfRule type="expression" dxfId="11" priority="16" stopIfTrue="1">
      <formula>$F$145=TRUE</formula>
    </cfRule>
    <cfRule type="expression" dxfId="10" priority="17" stopIfTrue="1">
      <formula>$F$146=TRUE</formula>
    </cfRule>
  </conditionalFormatting>
  <conditionalFormatting sqref="P19">
    <cfRule type="expression" dxfId="9" priority="14">
      <formula>$F$147=TRUE</formula>
    </cfRule>
    <cfRule type="expression" dxfId="8" priority="15">
      <formula>$F$148=TRUE</formula>
    </cfRule>
  </conditionalFormatting>
  <conditionalFormatting sqref="T19">
    <cfRule type="expression" dxfId="7" priority="12">
      <formula>$F$149=TRUE</formula>
    </cfRule>
    <cfRule type="expression" dxfId="6" priority="13">
      <formula>$F$150=TRUE</formula>
    </cfRule>
  </conditionalFormatting>
  <conditionalFormatting sqref="B21">
    <cfRule type="expression" dxfId="5" priority="10">
      <formula>$F$152=TRUE</formula>
    </cfRule>
    <cfRule type="expression" dxfId="4" priority="11">
      <formula>$F$153=TRUE</formula>
    </cfRule>
  </conditionalFormatting>
  <conditionalFormatting sqref="F21">
    <cfRule type="expression" dxfId="3" priority="8">
      <formula>$F$154=TRUE</formula>
    </cfRule>
  </conditionalFormatting>
  <conditionalFormatting sqref="B30">
    <cfRule type="expression" dxfId="2" priority="6">
      <formula>AND(TopInputsOK=TRUE,TableEntries&gt;=RowsActive)</formula>
    </cfRule>
  </conditionalFormatting>
  <conditionalFormatting sqref="D33:E112">
    <cfRule type="expression" dxfId="1" priority="393" stopIfTrue="1">
      <formula>$AD33=TRUE</formula>
    </cfRule>
    <cfRule type="expression" dxfId="0" priority="394" stopIfTrue="1">
      <formula>COUNTA($D33)&gt;0</formula>
    </cfRule>
  </conditionalFormatting>
  <dataValidations count="13">
    <dataValidation type="decimal" allowBlank="1" showErrorMessage="1" errorTitle="Invalid entry" error="Area (when given) must be a number greater than zero._x000a__x000a_Not needed when Height and Width are given (and will be ignored if equal to or smaller than Height x Width)." sqref="J33:J112">
      <formula1>0.01</formula1>
      <formula2>10000</formula2>
    </dataValidation>
    <dataValidation type="custom" operator="greaterThan" allowBlank="1" showErrorMessage="1" errorTitle="Invalid entry" error="Width (if used) must be a number greater than zero._x000a__x000a_Not needed when an Area has already been given. Clear Area if intending to specify Height and Width." sqref="I33:I112">
      <formula1>AND(I33&gt;0,COUNTA(J33)=0)</formula1>
    </dataValidation>
    <dataValidation type="whole" allowBlank="1" showErrorMessage="1" errorTitle="Invalid entry" error="Please select a number large enough to display all rows containing data but no more than 40 (the maximum available in the table)." sqref="G28">
      <formula1>MAX(1,LastActive)</formula1>
      <formula2>RowsAvailable</formula2>
    </dataValidation>
    <dataValidation type="decimal" operator="greaterThan" allowBlank="1" showInputMessage="1" showErrorMessage="1" errorTitle="Invalid height" error="No extra credit for a shading edge at or below the base of the glazing._x000a__x000a_Enter a number greater than zero (eg. 0.001 or more)" prompt="No shading credit if H exceeds glazing height by 1.8m or more" sqref="N33:N112">
      <formula1>0</formula1>
    </dataValidation>
    <dataValidation type="list" showErrorMessage="1" errorTitle="Invalid entry" error="Please select a value from the drop down list of &quot;active&quot; sectors._x000a__x000a_(A facade area must be recorded in the facade list above the glazing elements table for a sector to become 'active'.)" promptTitle="Orientation sector" prompt="Please select a sector from the drop down list_x000a_(in accordance with Figure J2.3)._x000a__x000a_The list shows only the orientations with a facade area recorded above." sqref="F33:F112">
      <formula1>OrientationsA</formula1>
    </dataValidation>
    <dataValidation type="list" showErrorMessage="1" errorTitle="Invalid entry" error="Please select a value from the drop down list of 'active' sectors._x000a__x000a_(A facade area must be recorded in the facade list above the glazing elements table for a sector to become 'active'.)" promptTitle="Orientation sector" prompt="Please select a sector from the drop down list_x000a_(in accordance with Figure J2.3)._x000a__x000a_The list shows only the orientations with a facade area recorded above." sqref="G33:G112">
      <formula1>OrientationsB</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77 or less than 0.16 are unlikely to be realistic.)" sqref="L33:L112">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K33:K112">
      <formula1>1</formula1>
      <formula2>8</formula2>
    </dataValidation>
    <dataValidation type="decimal" operator="greaterThan" allowBlank="1" showErrorMessage="1" errorTitle="Invalid entry" error="Facade areas must be numbers greater than zero." sqref="F23:M24">
      <formula1>0</formula1>
    </dataValidation>
    <dataValidation type="whole" showInputMessage="1" showErrorMessage="1" errorTitle="Invalid climate zone number" error="Only whole numbers between 1 and 8 are permitted. (See Figure A1.1 and Table A1.1)" promptTitle="BCA Climate Zone" prompt="Enter a whole number between 1 and 8." sqref="T20">
      <formula1>1</formula1>
      <formula2>8</formula2>
    </dataValidation>
    <dataValidation type="decimal" operator="greaterThan" allowBlank="1" showErrorMessage="1" errorTitle="Invalid entry" error="Height (if used) must be a number greater than zero." sqref="H33:H112">
      <formula1>0</formula1>
    </dataValidation>
    <dataValidation type="list" showInputMessage="1" showErrorMessage="1" errorTitle="Invalid input" error="Select the Application only from the drop down list." promptTitle="Application (as in Table J2.4a)" prompt="Select the appropriate Application from the drop down list._x000a__x000a_In the list, 'other' refers to the last Application descriptor in Table J2.4a." sqref="P20:R20">
      <formula1>ValidApplications</formula1>
    </dataValidation>
    <dataValidation type="custom" allowBlank="1" showInputMessage="1" showErrorMessage="1" errorTitle="Invalid entry" error="'P' must be a positive number or the word 'device' (without the quotation marks)._x000a__x000a_LEAVE 'P' AND 'H' BLANK FOR INTERNAL GLAZING." promptTitle="Input advice:" prompt="If shading is provided by an external shading device complying with J2.5(b), enter 'device' (without the quotation marks)._x000a__x000a_LEAVE 'P' AND 'H' BLANK FOR INTERNAL GLAZING." sqref="M33:M112">
      <formula1>IF(F33="internal",FALSE,OR(AND(ISNUMBER(M33),M33&gt;=0),M33="device"))</formula1>
    </dataValidation>
  </dataValidations>
  <printOptions horizontalCentered="1"/>
  <pageMargins left="0.35433070866141736" right="0.23622047244094491" top="0.59055118110236227" bottom="0.47244094488188981"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V178"/>
  <sheetViews>
    <sheetView topLeftCell="A27" zoomScale="115" zoomScaleNormal="115" workbookViewId="0"/>
  </sheetViews>
  <sheetFormatPr defaultRowHeight="12.75" x14ac:dyDescent="0.2"/>
  <cols>
    <col min="1" max="1" width="1.7109375" customWidth="1"/>
    <col min="2" max="2" width="22.5703125" customWidth="1"/>
    <col min="3" max="3" width="9.42578125" customWidth="1"/>
    <col min="4" max="11" width="5.7109375" customWidth="1"/>
    <col min="12" max="12" width="7.28515625" customWidth="1"/>
    <col min="13" max="20" width="5.7109375" customWidth="1"/>
    <col min="21" max="21" width="1.7109375" customWidth="1"/>
    <col min="22" max="29" width="5.7109375" customWidth="1"/>
    <col min="30" max="30" width="1.7109375" customWidth="1"/>
    <col min="31" max="38" width="5.7109375" customWidth="1"/>
    <col min="39" max="39" width="1.7109375" customWidth="1"/>
    <col min="40" max="47" width="5.7109375" customWidth="1"/>
    <col min="48" max="48" width="1.7109375" customWidth="1"/>
    <col min="49" max="56" width="5.7109375" customWidth="1"/>
    <col min="57" max="57" width="1.7109375" customWidth="1"/>
    <col min="58" max="65" width="5.7109375" customWidth="1"/>
    <col min="66" max="66" width="1.7109375" customWidth="1"/>
    <col min="67" max="74" width="5.7109375" customWidth="1"/>
  </cols>
  <sheetData>
    <row r="1" spans="2:3" x14ac:dyDescent="0.2">
      <c r="B1" s="1" t="s">
        <v>0</v>
      </c>
    </row>
    <row r="2" spans="2:3" x14ac:dyDescent="0.2">
      <c r="B2" s="2" t="s">
        <v>397</v>
      </c>
    </row>
    <row r="3" spans="2:3" x14ac:dyDescent="0.2">
      <c r="B3" s="2" t="s">
        <v>329</v>
      </c>
    </row>
    <row r="4" spans="2:3" x14ac:dyDescent="0.2">
      <c r="B4" s="2" t="s">
        <v>52</v>
      </c>
    </row>
    <row r="5" spans="2:3" x14ac:dyDescent="0.2">
      <c r="B5" s="2" t="s">
        <v>330</v>
      </c>
    </row>
    <row r="6" spans="2:3" x14ac:dyDescent="0.2">
      <c r="B6" s="2"/>
    </row>
    <row r="7" spans="2:3" x14ac:dyDescent="0.2">
      <c r="B7" s="2"/>
    </row>
    <row r="8" spans="2:3" x14ac:dyDescent="0.2">
      <c r="B8" s="3" t="s">
        <v>331</v>
      </c>
    </row>
    <row r="9" spans="2:3" x14ac:dyDescent="0.2">
      <c r="B9" s="303" t="s">
        <v>317</v>
      </c>
      <c r="C9" s="370" t="s">
        <v>324</v>
      </c>
    </row>
    <row r="10" spans="2:3" x14ac:dyDescent="0.2">
      <c r="B10" s="357" t="s">
        <v>315</v>
      </c>
      <c r="C10" s="371">
        <v>1</v>
      </c>
    </row>
    <row r="11" spans="2:3" x14ac:dyDescent="0.2">
      <c r="B11" s="357" t="s">
        <v>338</v>
      </c>
      <c r="C11" s="371">
        <v>1</v>
      </c>
    </row>
    <row r="12" spans="2:3" x14ac:dyDescent="0.2">
      <c r="B12" s="357" t="s">
        <v>355</v>
      </c>
      <c r="C12" s="371">
        <v>3</v>
      </c>
    </row>
    <row r="13" spans="2:3" x14ac:dyDescent="0.2">
      <c r="B13" s="357" t="s">
        <v>356</v>
      </c>
      <c r="C13" s="371">
        <v>3</v>
      </c>
    </row>
    <row r="14" spans="2:3" x14ac:dyDescent="0.2">
      <c r="B14" s="357" t="s">
        <v>316</v>
      </c>
      <c r="C14" s="371">
        <v>5</v>
      </c>
    </row>
    <row r="17" spans="1:12" x14ac:dyDescent="0.2">
      <c r="B17" s="3" t="s">
        <v>12</v>
      </c>
    </row>
    <row r="18" spans="1:12" x14ac:dyDescent="0.2">
      <c r="B18" s="2" t="s">
        <v>318</v>
      </c>
    </row>
    <row r="19" spans="1:12" x14ac:dyDescent="0.2">
      <c r="B19" s="4" t="s">
        <v>13</v>
      </c>
    </row>
    <row r="20" spans="1:12" x14ac:dyDescent="0.2">
      <c r="B20" s="34" t="s">
        <v>14</v>
      </c>
      <c r="C20" s="33"/>
      <c r="D20" s="16">
        <v>1</v>
      </c>
      <c r="E20" s="17">
        <v>2</v>
      </c>
      <c r="F20" s="17">
        <v>3</v>
      </c>
      <c r="G20" s="17">
        <v>4</v>
      </c>
      <c r="H20" s="17">
        <v>5</v>
      </c>
      <c r="I20" s="17">
        <v>6</v>
      </c>
      <c r="J20" s="17">
        <v>7</v>
      </c>
      <c r="K20" s="18">
        <v>8</v>
      </c>
    </row>
    <row r="21" spans="1:12" x14ac:dyDescent="0.2">
      <c r="B21" s="376">
        <f>Application</f>
        <v>0</v>
      </c>
      <c r="C21" s="368" t="s">
        <v>322</v>
      </c>
      <c r="D21" s="372" t="e">
        <f t="shared" ref="D21:K21" si="0">INDEX(D$26:D$31,$C$23,1)</f>
        <v>#N/A</v>
      </c>
      <c r="E21" s="373" t="e">
        <f t="shared" si="0"/>
        <v>#N/A</v>
      </c>
      <c r="F21" s="373" t="e">
        <f t="shared" si="0"/>
        <v>#N/A</v>
      </c>
      <c r="G21" s="373" t="e">
        <f t="shared" si="0"/>
        <v>#N/A</v>
      </c>
      <c r="H21" s="373" t="e">
        <f t="shared" si="0"/>
        <v>#N/A</v>
      </c>
      <c r="I21" s="373" t="e">
        <f t="shared" si="0"/>
        <v>#N/A</v>
      </c>
      <c r="J21" s="373" t="e">
        <f t="shared" si="0"/>
        <v>#N/A</v>
      </c>
      <c r="K21" s="378" t="e">
        <f t="shared" si="0"/>
        <v>#N/A</v>
      </c>
      <c r="L21" s="419" t="s">
        <v>244</v>
      </c>
    </row>
    <row r="22" spans="1:12" x14ac:dyDescent="0.2">
      <c r="B22" s="102"/>
      <c r="C22" s="369" t="s">
        <v>323</v>
      </c>
      <c r="D22" s="374" t="e">
        <f>INDEX(D$26:D$31,$C$23+1,1)</f>
        <v>#N/A</v>
      </c>
      <c r="E22" s="375" t="e">
        <f t="shared" ref="E22:J22" si="1">INDEX(E$26:E$31,$C$23+1,1)</f>
        <v>#N/A</v>
      </c>
      <c r="F22" s="375" t="e">
        <f t="shared" si="1"/>
        <v>#N/A</v>
      </c>
      <c r="G22" s="375" t="e">
        <f t="shared" si="1"/>
        <v>#N/A</v>
      </c>
      <c r="H22" s="375" t="e">
        <f t="shared" si="1"/>
        <v>#N/A</v>
      </c>
      <c r="I22" s="375" t="e">
        <f t="shared" si="1"/>
        <v>#N/A</v>
      </c>
      <c r="J22" s="375" t="e">
        <f t="shared" si="1"/>
        <v>#N/A</v>
      </c>
      <c r="K22" s="119">
        <v>0</v>
      </c>
      <c r="L22" s="420" t="s">
        <v>119</v>
      </c>
    </row>
    <row r="23" spans="1:12" x14ac:dyDescent="0.2">
      <c r="B23" s="101" t="s">
        <v>326</v>
      </c>
      <c r="C23" s="377" t="e">
        <f>VLOOKUP(B21,B10:C14,2,FALSE)</f>
        <v>#N/A</v>
      </c>
      <c r="D23" s="2" t="s">
        <v>325</v>
      </c>
      <c r="L23" s="421"/>
    </row>
    <row r="24" spans="1:12" x14ac:dyDescent="0.2">
      <c r="L24" s="421"/>
    </row>
    <row r="25" spans="1:12" x14ac:dyDescent="0.2">
      <c r="B25" s="2" t="s">
        <v>327</v>
      </c>
      <c r="L25" s="421"/>
    </row>
    <row r="26" spans="1:12" ht="20.25" x14ac:dyDescent="0.3">
      <c r="A26" s="358"/>
      <c r="B26" s="655" t="s">
        <v>319</v>
      </c>
      <c r="C26" s="366" t="s">
        <v>322</v>
      </c>
      <c r="D26" s="364">
        <v>6.7000000000000004E-2</v>
      </c>
      <c r="E26" s="360">
        <v>0.13200000000000001</v>
      </c>
      <c r="F26" s="360">
        <v>9.0999999999999998E-2</v>
      </c>
      <c r="G26" s="360">
        <v>8.5999999999999993E-2</v>
      </c>
      <c r="H26" s="360">
        <v>9.1999999999999998E-2</v>
      </c>
      <c r="I26" s="360">
        <v>0.09</v>
      </c>
      <c r="J26" s="360">
        <v>5.8999999999999997E-2</v>
      </c>
      <c r="K26" s="361">
        <v>2.7E-2</v>
      </c>
      <c r="L26" s="421"/>
    </row>
    <row r="27" spans="1:12" ht="20.25" x14ac:dyDescent="0.3">
      <c r="A27" s="358"/>
      <c r="B27" s="656"/>
      <c r="C27" s="367" t="s">
        <v>323</v>
      </c>
      <c r="D27" s="365">
        <v>0.06</v>
      </c>
      <c r="E27" s="362">
        <v>0.124</v>
      </c>
      <c r="F27" s="362">
        <v>7.8E-2</v>
      </c>
      <c r="G27" s="362">
        <v>6.3E-2</v>
      </c>
      <c r="H27" s="362">
        <v>7.0999999999999994E-2</v>
      </c>
      <c r="I27" s="362">
        <v>6.0999999999999999E-2</v>
      </c>
      <c r="J27" s="362">
        <v>3.6999999999999998E-2</v>
      </c>
      <c r="K27" s="363">
        <v>0</v>
      </c>
      <c r="L27" s="422" t="s">
        <v>119</v>
      </c>
    </row>
    <row r="28" spans="1:12" ht="20.25" x14ac:dyDescent="0.3">
      <c r="A28" s="358"/>
      <c r="B28" s="655" t="s">
        <v>320</v>
      </c>
      <c r="C28" s="366" t="s">
        <v>322</v>
      </c>
      <c r="D28" s="364">
        <v>0.18</v>
      </c>
      <c r="E28" s="360">
        <v>0.217</v>
      </c>
      <c r="F28" s="360">
        <v>0.221</v>
      </c>
      <c r="G28" s="360">
        <v>0.22700000000000001</v>
      </c>
      <c r="H28" s="360">
        <v>0.25700000000000001</v>
      </c>
      <c r="I28" s="360">
        <v>0.22</v>
      </c>
      <c r="J28" s="360">
        <v>0.17</v>
      </c>
      <c r="K28" s="361">
        <v>4.5999999999999999E-2</v>
      </c>
      <c r="L28" s="421"/>
    </row>
    <row r="29" spans="1:12" ht="20.25" x14ac:dyDescent="0.3">
      <c r="A29" s="358"/>
      <c r="B29" s="656"/>
      <c r="C29" s="367" t="s">
        <v>323</v>
      </c>
      <c r="D29" s="365">
        <v>0.17299999999999999</v>
      </c>
      <c r="E29" s="362">
        <v>0.20899999999999999</v>
      </c>
      <c r="F29" s="362">
        <v>0.20799999999999999</v>
      </c>
      <c r="G29" s="362">
        <v>0.20399999999999999</v>
      </c>
      <c r="H29" s="362">
        <v>0.23599999999999999</v>
      </c>
      <c r="I29" s="362">
        <v>0.191</v>
      </c>
      <c r="J29" s="362">
        <v>0.14799999999999999</v>
      </c>
      <c r="K29" s="363">
        <v>0</v>
      </c>
      <c r="L29" s="422" t="s">
        <v>119</v>
      </c>
    </row>
    <row r="30" spans="1:12" ht="34.5" x14ac:dyDescent="0.45">
      <c r="A30" s="359"/>
      <c r="B30" s="657" t="s">
        <v>321</v>
      </c>
      <c r="C30" s="379" t="s">
        <v>322</v>
      </c>
      <c r="D30" s="380">
        <v>0.13</v>
      </c>
      <c r="E30" s="381">
        <v>0.18099999999999999</v>
      </c>
      <c r="F30" s="381">
        <v>0.17199999999999999</v>
      </c>
      <c r="G30" s="381">
        <v>0.14199999999999999</v>
      </c>
      <c r="H30" s="381">
        <v>0.17499999999999999</v>
      </c>
      <c r="I30" s="381">
        <v>0.11600000000000001</v>
      </c>
      <c r="J30" s="381">
        <v>8.3000000000000004E-2</v>
      </c>
      <c r="K30" s="382">
        <v>2.3E-2</v>
      </c>
      <c r="L30" s="421"/>
    </row>
    <row r="31" spans="1:12" ht="34.5" x14ac:dyDescent="0.45">
      <c r="A31" s="359"/>
      <c r="B31" s="656"/>
      <c r="C31" s="367" t="s">
        <v>323</v>
      </c>
      <c r="D31" s="365">
        <v>0.123</v>
      </c>
      <c r="E31" s="362">
        <v>0.17299999999999999</v>
      </c>
      <c r="F31" s="362">
        <v>0.159</v>
      </c>
      <c r="G31" s="362">
        <v>0.113</v>
      </c>
      <c r="H31" s="362">
        <v>0.14499999999999999</v>
      </c>
      <c r="I31" s="362">
        <v>8.2000000000000003E-2</v>
      </c>
      <c r="J31" s="362">
        <v>5.8000000000000003E-2</v>
      </c>
      <c r="K31" s="363">
        <v>0</v>
      </c>
      <c r="L31" s="422" t="s">
        <v>119</v>
      </c>
    </row>
    <row r="32" spans="1:12" x14ac:dyDescent="0.2">
      <c r="B32" s="303" t="s">
        <v>374</v>
      </c>
    </row>
    <row r="33" spans="2:14" x14ac:dyDescent="0.2">
      <c r="N33" s="101"/>
    </row>
    <row r="34" spans="2:14" x14ac:dyDescent="0.2">
      <c r="B34" s="3" t="s">
        <v>15</v>
      </c>
    </row>
    <row r="35" spans="2:14" x14ac:dyDescent="0.2">
      <c r="B35" s="2" t="s">
        <v>328</v>
      </c>
    </row>
    <row r="36" spans="2:14" ht="14.25" x14ac:dyDescent="0.25">
      <c r="B36" s="4" t="s">
        <v>36</v>
      </c>
    </row>
    <row r="37" spans="2:14" x14ac:dyDescent="0.2">
      <c r="B37" s="60" t="s">
        <v>14</v>
      </c>
      <c r="C37" s="650" t="s">
        <v>35</v>
      </c>
      <c r="D37" s="23" t="s">
        <v>28</v>
      </c>
      <c r="E37" s="8"/>
      <c r="F37" s="8"/>
      <c r="G37" s="8"/>
      <c r="H37" s="8"/>
      <c r="I37" s="8"/>
      <c r="J37" s="8"/>
      <c r="K37" s="8"/>
      <c r="L37" s="9"/>
    </row>
    <row r="38" spans="2:14" ht="22.5" x14ac:dyDescent="0.2">
      <c r="B38" s="19"/>
      <c r="C38" s="651"/>
      <c r="D38" s="64" t="s">
        <v>16</v>
      </c>
      <c r="E38" s="65" t="s">
        <v>24</v>
      </c>
      <c r="F38" s="65" t="s">
        <v>17</v>
      </c>
      <c r="G38" s="65" t="s">
        <v>25</v>
      </c>
      <c r="H38" s="65" t="s">
        <v>18</v>
      </c>
      <c r="I38" s="65" t="s">
        <v>19</v>
      </c>
      <c r="J38" s="65" t="s">
        <v>20</v>
      </c>
      <c r="K38" s="415" t="s">
        <v>26</v>
      </c>
      <c r="L38" s="413" t="s">
        <v>352</v>
      </c>
      <c r="M38" s="303" t="s">
        <v>242</v>
      </c>
    </row>
    <row r="39" spans="2:14" x14ac:dyDescent="0.2">
      <c r="B39" s="15"/>
      <c r="C39" s="652"/>
      <c r="D39" s="61" t="s">
        <v>55</v>
      </c>
      <c r="E39" s="62" t="s">
        <v>1</v>
      </c>
      <c r="F39" s="62" t="s">
        <v>56</v>
      </c>
      <c r="G39" s="62" t="s">
        <v>2</v>
      </c>
      <c r="H39" s="62" t="s">
        <v>57</v>
      </c>
      <c r="I39" s="62" t="s">
        <v>53</v>
      </c>
      <c r="J39" s="62" t="s">
        <v>54</v>
      </c>
      <c r="K39" s="63" t="s">
        <v>58</v>
      </c>
      <c r="L39" s="414" t="s">
        <v>352</v>
      </c>
      <c r="M39" s="303" t="s">
        <v>241</v>
      </c>
    </row>
    <row r="40" spans="2:14" ht="14.25" x14ac:dyDescent="0.25">
      <c r="B40" s="14">
        <v>1</v>
      </c>
      <c r="C40" s="20" t="s">
        <v>21</v>
      </c>
      <c r="D40" s="24">
        <v>0</v>
      </c>
      <c r="E40" s="25">
        <v>0</v>
      </c>
      <c r="F40" s="25">
        <v>0</v>
      </c>
      <c r="G40" s="25">
        <v>0</v>
      </c>
      <c r="H40" s="25">
        <v>0</v>
      </c>
      <c r="I40" s="25">
        <v>0</v>
      </c>
      <c r="J40" s="25">
        <v>0</v>
      </c>
      <c r="K40" s="26">
        <v>0</v>
      </c>
      <c r="L40" s="416">
        <f>H40</f>
        <v>0</v>
      </c>
      <c r="M40" s="303" t="s">
        <v>243</v>
      </c>
    </row>
    <row r="41" spans="2:14" ht="14.25" x14ac:dyDescent="0.25">
      <c r="B41" s="19"/>
      <c r="C41" s="21" t="s">
        <v>22</v>
      </c>
      <c r="D41" s="27">
        <v>0.8</v>
      </c>
      <c r="E41" s="28">
        <v>0.92</v>
      </c>
      <c r="F41" s="28">
        <v>0.91</v>
      </c>
      <c r="G41" s="28">
        <v>0.67</v>
      </c>
      <c r="H41" s="28">
        <v>0.48</v>
      </c>
      <c r="I41" s="28">
        <v>0.67</v>
      </c>
      <c r="J41" s="28">
        <v>0.88</v>
      </c>
      <c r="K41" s="29">
        <v>0.91</v>
      </c>
      <c r="L41" s="417">
        <f t="shared" ref="L41:L63" si="2">H41</f>
        <v>0.48</v>
      </c>
    </row>
    <row r="42" spans="2:14" ht="14.25" x14ac:dyDescent="0.25">
      <c r="B42" s="19"/>
      <c r="C42" s="21" t="s">
        <v>23</v>
      </c>
      <c r="D42" s="27">
        <v>0.02</v>
      </c>
      <c r="E42" s="28">
        <v>0.02</v>
      </c>
      <c r="F42" s="28">
        <v>0.02</v>
      </c>
      <c r="G42" s="28">
        <v>0.02</v>
      </c>
      <c r="H42" s="28">
        <v>0.02</v>
      </c>
      <c r="I42" s="28">
        <v>0.02</v>
      </c>
      <c r="J42" s="28">
        <v>0.02</v>
      </c>
      <c r="K42" s="29">
        <v>0.02</v>
      </c>
      <c r="L42" s="417">
        <f t="shared" si="2"/>
        <v>0.02</v>
      </c>
    </row>
    <row r="43" spans="2:14" ht="14.25" x14ac:dyDescent="0.25">
      <c r="B43" s="14">
        <v>2</v>
      </c>
      <c r="C43" s="20" t="s">
        <v>21</v>
      </c>
      <c r="D43" s="24">
        <v>0</v>
      </c>
      <c r="E43" s="25">
        <v>0</v>
      </c>
      <c r="F43" s="25">
        <v>0</v>
      </c>
      <c r="G43" s="25">
        <v>0</v>
      </c>
      <c r="H43" s="25">
        <v>0</v>
      </c>
      <c r="I43" s="25">
        <v>0</v>
      </c>
      <c r="J43" s="25">
        <v>0</v>
      </c>
      <c r="K43" s="26">
        <v>0</v>
      </c>
      <c r="L43" s="416">
        <f t="shared" si="2"/>
        <v>0</v>
      </c>
    </row>
    <row r="44" spans="2:14" ht="14.25" x14ac:dyDescent="0.25">
      <c r="B44" s="19"/>
      <c r="C44" s="21" t="s">
        <v>22</v>
      </c>
      <c r="D44" s="27">
        <v>1.2</v>
      </c>
      <c r="E44" s="28">
        <v>1.4</v>
      </c>
      <c r="F44" s="28">
        <v>1.31</v>
      </c>
      <c r="G44" s="28">
        <v>0.84</v>
      </c>
      <c r="H44" s="28">
        <v>0.48</v>
      </c>
      <c r="I44" s="28">
        <v>0.7</v>
      </c>
      <c r="J44" s="28">
        <v>1.03</v>
      </c>
      <c r="K44" s="29">
        <v>1.17</v>
      </c>
      <c r="L44" s="417">
        <f t="shared" si="2"/>
        <v>0.48</v>
      </c>
    </row>
    <row r="45" spans="2:14" ht="14.25" x14ac:dyDescent="0.25">
      <c r="B45" s="19"/>
      <c r="C45" s="21" t="s">
        <v>23</v>
      </c>
      <c r="D45" s="27">
        <v>-0.01</v>
      </c>
      <c r="E45" s="28">
        <v>-0.01</v>
      </c>
      <c r="F45" s="28">
        <v>-0.01</v>
      </c>
      <c r="G45" s="28">
        <v>0</v>
      </c>
      <c r="H45" s="28">
        <v>0</v>
      </c>
      <c r="I45" s="28">
        <v>0</v>
      </c>
      <c r="J45" s="28">
        <v>-0.01</v>
      </c>
      <c r="K45" s="29">
        <v>-0.01</v>
      </c>
      <c r="L45" s="417">
        <f t="shared" si="2"/>
        <v>0</v>
      </c>
    </row>
    <row r="46" spans="2:14" ht="14.25" x14ac:dyDescent="0.25">
      <c r="B46" s="14">
        <v>3</v>
      </c>
      <c r="C46" s="20" t="s">
        <v>21</v>
      </c>
      <c r="D46" s="24">
        <v>0</v>
      </c>
      <c r="E46" s="25">
        <v>0</v>
      </c>
      <c r="F46" s="25">
        <v>0</v>
      </c>
      <c r="G46" s="25">
        <v>0</v>
      </c>
      <c r="H46" s="25">
        <v>0</v>
      </c>
      <c r="I46" s="25">
        <v>0</v>
      </c>
      <c r="J46" s="25">
        <v>0</v>
      </c>
      <c r="K46" s="26">
        <v>0</v>
      </c>
      <c r="L46" s="416">
        <f t="shared" si="2"/>
        <v>0</v>
      </c>
    </row>
    <row r="47" spans="2:14" ht="14.25" x14ac:dyDescent="0.25">
      <c r="B47" s="19"/>
      <c r="C47" s="21" t="s">
        <v>22</v>
      </c>
      <c r="D47" s="27">
        <v>1.01</v>
      </c>
      <c r="E47" s="28">
        <v>1.1599999999999999</v>
      </c>
      <c r="F47" s="28">
        <v>1.08</v>
      </c>
      <c r="G47" s="28">
        <v>0.69</v>
      </c>
      <c r="H47" s="28">
        <v>0.41</v>
      </c>
      <c r="I47" s="28">
        <v>0.67</v>
      </c>
      <c r="J47" s="28">
        <v>1.01</v>
      </c>
      <c r="K47" s="29">
        <v>1.0900000000000001</v>
      </c>
      <c r="L47" s="417">
        <f t="shared" si="2"/>
        <v>0.41</v>
      </c>
    </row>
    <row r="48" spans="2:14" ht="14.25" x14ac:dyDescent="0.25">
      <c r="B48" s="19"/>
      <c r="C48" s="21" t="s">
        <v>23</v>
      </c>
      <c r="D48" s="27">
        <v>0.01</v>
      </c>
      <c r="E48" s="28">
        <v>0.01</v>
      </c>
      <c r="F48" s="28">
        <v>0.01</v>
      </c>
      <c r="G48" s="28">
        <v>0.02</v>
      </c>
      <c r="H48" s="28">
        <v>0.01</v>
      </c>
      <c r="I48" s="28">
        <v>0.01</v>
      </c>
      <c r="J48" s="28">
        <v>0.01</v>
      </c>
      <c r="K48" s="29">
        <v>0.01</v>
      </c>
      <c r="L48" s="417">
        <f t="shared" si="2"/>
        <v>0.01</v>
      </c>
    </row>
    <row r="49" spans="2:12" ht="14.25" x14ac:dyDescent="0.25">
      <c r="B49" s="14">
        <v>4</v>
      </c>
      <c r="C49" s="20" t="s">
        <v>21</v>
      </c>
      <c r="D49" s="24">
        <v>-0.16</v>
      </c>
      <c r="E49" s="25">
        <v>-0.18</v>
      </c>
      <c r="F49" s="25">
        <v>-0.3</v>
      </c>
      <c r="G49" s="25">
        <v>-0.44</v>
      </c>
      <c r="H49" s="25">
        <v>-0.45</v>
      </c>
      <c r="I49" s="25">
        <v>-0.46</v>
      </c>
      <c r="J49" s="25">
        <v>-0.4</v>
      </c>
      <c r="K49" s="26">
        <v>-0.26</v>
      </c>
      <c r="L49" s="416">
        <f t="shared" si="2"/>
        <v>-0.45</v>
      </c>
    </row>
    <row r="50" spans="2:12" ht="14.25" x14ac:dyDescent="0.25">
      <c r="B50" s="19"/>
      <c r="C50" s="21" t="s">
        <v>22</v>
      </c>
      <c r="D50" s="27">
        <v>1.25</v>
      </c>
      <c r="E50" s="28">
        <v>1.37</v>
      </c>
      <c r="F50" s="28">
        <v>1.18</v>
      </c>
      <c r="G50" s="28">
        <v>0.68</v>
      </c>
      <c r="H50" s="28">
        <v>0.35</v>
      </c>
      <c r="I50" s="28">
        <v>0.6</v>
      </c>
      <c r="J50" s="28">
        <v>0.98</v>
      </c>
      <c r="K50" s="29">
        <v>1.2</v>
      </c>
      <c r="L50" s="417">
        <f t="shared" si="2"/>
        <v>0.35</v>
      </c>
    </row>
    <row r="51" spans="2:12" ht="14.25" x14ac:dyDescent="0.25">
      <c r="B51" s="19"/>
      <c r="C51" s="21" t="s">
        <v>23</v>
      </c>
      <c r="D51" s="27">
        <v>0</v>
      </c>
      <c r="E51" s="28">
        <v>0</v>
      </c>
      <c r="F51" s="28">
        <v>0.03</v>
      </c>
      <c r="G51" s="28">
        <v>7.0000000000000007E-2</v>
      </c>
      <c r="H51" s="28">
        <v>0.09</v>
      </c>
      <c r="I51" s="28">
        <v>0.08</v>
      </c>
      <c r="J51" s="28">
        <v>0.04</v>
      </c>
      <c r="K51" s="29">
        <v>0.02</v>
      </c>
      <c r="L51" s="417">
        <f t="shared" si="2"/>
        <v>0.09</v>
      </c>
    </row>
    <row r="52" spans="2:12" ht="14.25" x14ac:dyDescent="0.25">
      <c r="B52" s="14">
        <v>5</v>
      </c>
      <c r="C52" s="20" t="s">
        <v>21</v>
      </c>
      <c r="D52" s="24">
        <v>-0.06</v>
      </c>
      <c r="E52" s="25">
        <v>-0.09</v>
      </c>
      <c r="F52" s="25">
        <v>-0.18</v>
      </c>
      <c r="G52" s="25">
        <v>-0.41</v>
      </c>
      <c r="H52" s="25">
        <v>-0.47</v>
      </c>
      <c r="I52" s="25">
        <v>-0.43</v>
      </c>
      <c r="J52" s="25">
        <v>-0.28000000000000003</v>
      </c>
      <c r="K52" s="26">
        <v>-0.14000000000000001</v>
      </c>
      <c r="L52" s="416">
        <f t="shared" si="2"/>
        <v>-0.47</v>
      </c>
    </row>
    <row r="53" spans="2:12" ht="14.25" x14ac:dyDescent="0.25">
      <c r="B53" s="19"/>
      <c r="C53" s="21" t="s">
        <v>22</v>
      </c>
      <c r="D53" s="27">
        <v>1.46</v>
      </c>
      <c r="E53" s="28">
        <v>1.55</v>
      </c>
      <c r="F53" s="28">
        <v>1.32</v>
      </c>
      <c r="G53" s="28">
        <v>0.75</v>
      </c>
      <c r="H53" s="28">
        <v>0.41</v>
      </c>
      <c r="I53" s="28">
        <v>0.68</v>
      </c>
      <c r="J53" s="28">
        <v>1.1299999999999999</v>
      </c>
      <c r="K53" s="29">
        <v>1.38</v>
      </c>
      <c r="L53" s="417">
        <f t="shared" si="2"/>
        <v>0.41</v>
      </c>
    </row>
    <row r="54" spans="2:12" ht="14.25" x14ac:dyDescent="0.25">
      <c r="B54" s="19"/>
      <c r="C54" s="21" t="s">
        <v>23</v>
      </c>
      <c r="D54" s="27">
        <v>-0.02</v>
      </c>
      <c r="E54" s="28">
        <v>-0.01</v>
      </c>
      <c r="F54" s="28">
        <v>0</v>
      </c>
      <c r="G54" s="28">
        <v>0.05</v>
      </c>
      <c r="H54" s="28">
        <v>7.0000000000000007E-2</v>
      </c>
      <c r="I54" s="28">
        <v>0.05</v>
      </c>
      <c r="J54" s="28">
        <v>0.02</v>
      </c>
      <c r="K54" s="29">
        <v>-0.01</v>
      </c>
      <c r="L54" s="417">
        <f t="shared" si="2"/>
        <v>7.0000000000000007E-2</v>
      </c>
    </row>
    <row r="55" spans="2:12" ht="14.25" x14ac:dyDescent="0.25">
      <c r="B55" s="14">
        <v>6</v>
      </c>
      <c r="C55" s="20" t="s">
        <v>21</v>
      </c>
      <c r="D55" s="24">
        <v>-0.37</v>
      </c>
      <c r="E55" s="25">
        <v>-0.38</v>
      </c>
      <c r="F55" s="25">
        <v>-0.59</v>
      </c>
      <c r="G55" s="25">
        <v>-0.82</v>
      </c>
      <c r="H55" s="25">
        <v>-0.87</v>
      </c>
      <c r="I55" s="25">
        <v>-0.9</v>
      </c>
      <c r="J55" s="25">
        <v>-0.85</v>
      </c>
      <c r="K55" s="26">
        <v>-0.61</v>
      </c>
      <c r="L55" s="416">
        <f t="shared" si="2"/>
        <v>-0.87</v>
      </c>
    </row>
    <row r="56" spans="2:12" ht="14.25" x14ac:dyDescent="0.25">
      <c r="B56" s="19"/>
      <c r="C56" s="21" t="s">
        <v>22</v>
      </c>
      <c r="D56" s="27">
        <v>1.53</v>
      </c>
      <c r="E56" s="28">
        <v>1.66</v>
      </c>
      <c r="F56" s="28">
        <v>1.39</v>
      </c>
      <c r="G56" s="28">
        <v>0.8</v>
      </c>
      <c r="H56" s="28">
        <v>0.38</v>
      </c>
      <c r="I56" s="28">
        <v>0.66</v>
      </c>
      <c r="J56" s="28">
        <v>1.07</v>
      </c>
      <c r="K56" s="29">
        <v>1.34</v>
      </c>
      <c r="L56" s="417">
        <f t="shared" si="2"/>
        <v>0.38</v>
      </c>
    </row>
    <row r="57" spans="2:12" ht="14.25" x14ac:dyDescent="0.25">
      <c r="B57" s="19"/>
      <c r="C57" s="21" t="s">
        <v>23</v>
      </c>
      <c r="D57" s="27">
        <v>-0.01</v>
      </c>
      <c r="E57" s="28">
        <v>-0.01</v>
      </c>
      <c r="F57" s="28">
        <v>0.03</v>
      </c>
      <c r="G57" s="28">
        <v>0.11</v>
      </c>
      <c r="H57" s="28">
        <v>0.15</v>
      </c>
      <c r="I57" s="28">
        <v>0.13</v>
      </c>
      <c r="J57" s="28">
        <v>0.08</v>
      </c>
      <c r="K57" s="29">
        <v>0.03</v>
      </c>
      <c r="L57" s="417">
        <f t="shared" si="2"/>
        <v>0.15</v>
      </c>
    </row>
    <row r="58" spans="2:12" ht="14.25" x14ac:dyDescent="0.25">
      <c r="B58" s="14">
        <v>7</v>
      </c>
      <c r="C58" s="20" t="s">
        <v>21</v>
      </c>
      <c r="D58" s="24">
        <v>-0.41</v>
      </c>
      <c r="E58" s="25">
        <v>-0.43</v>
      </c>
      <c r="F58" s="25">
        <v>-0.7</v>
      </c>
      <c r="G58" s="25">
        <v>-0.76</v>
      </c>
      <c r="H58" s="25">
        <v>-0.74</v>
      </c>
      <c r="I58" s="25">
        <v>-0.85</v>
      </c>
      <c r="J58" s="25">
        <v>-0.92</v>
      </c>
      <c r="K58" s="26">
        <v>-0.71</v>
      </c>
      <c r="L58" s="416">
        <f t="shared" si="2"/>
        <v>-0.74</v>
      </c>
    </row>
    <row r="59" spans="2:12" ht="14.25" x14ac:dyDescent="0.25">
      <c r="B59" s="19"/>
      <c r="C59" s="21" t="s">
        <v>22</v>
      </c>
      <c r="D59" s="27">
        <v>1.32</v>
      </c>
      <c r="E59" s="28">
        <v>1.39</v>
      </c>
      <c r="F59" s="28">
        <v>1.0900000000000001</v>
      </c>
      <c r="G59" s="28">
        <v>0.59</v>
      </c>
      <c r="H59" s="28">
        <v>0.25</v>
      </c>
      <c r="I59" s="28">
        <v>0.47</v>
      </c>
      <c r="J59" s="28">
        <v>0.81</v>
      </c>
      <c r="K59" s="29">
        <v>1.0900000000000001</v>
      </c>
      <c r="L59" s="417">
        <f t="shared" si="2"/>
        <v>0.25</v>
      </c>
    </row>
    <row r="60" spans="2:12" ht="14.25" x14ac:dyDescent="0.25">
      <c r="B60" s="19"/>
      <c r="C60" s="21" t="s">
        <v>23</v>
      </c>
      <c r="D60" s="27">
        <v>0</v>
      </c>
      <c r="E60" s="28">
        <v>0.01</v>
      </c>
      <c r="F60" s="28">
        <v>0.06</v>
      </c>
      <c r="G60" s="28">
        <v>0.13</v>
      </c>
      <c r="H60" s="28">
        <v>0.16</v>
      </c>
      <c r="I60" s="28">
        <v>0.15</v>
      </c>
      <c r="J60" s="28">
        <v>0.11</v>
      </c>
      <c r="K60" s="29">
        <v>0.05</v>
      </c>
      <c r="L60" s="417">
        <f t="shared" si="2"/>
        <v>0.16</v>
      </c>
    </row>
    <row r="61" spans="2:12" ht="14.25" x14ac:dyDescent="0.25">
      <c r="B61" s="14">
        <v>8</v>
      </c>
      <c r="C61" s="20" t="s">
        <v>21</v>
      </c>
      <c r="D61" s="24">
        <v>-0.87</v>
      </c>
      <c r="E61" s="25">
        <v>-0.81</v>
      </c>
      <c r="F61" s="25">
        <v>-0.75</v>
      </c>
      <c r="G61" s="25">
        <v>-0.61</v>
      </c>
      <c r="H61" s="25">
        <v>-0.73</v>
      </c>
      <c r="I61" s="25">
        <v>-0.75</v>
      </c>
      <c r="J61" s="25">
        <v>-0.87</v>
      </c>
      <c r="K61" s="26">
        <v>-0.92</v>
      </c>
      <c r="L61" s="416">
        <f t="shared" si="2"/>
        <v>-0.73</v>
      </c>
    </row>
    <row r="62" spans="2:12" ht="14.25" x14ac:dyDescent="0.25">
      <c r="B62" s="19"/>
      <c r="C62" s="21" t="s">
        <v>22</v>
      </c>
      <c r="D62" s="27">
        <v>0.55000000000000004</v>
      </c>
      <c r="E62" s="28">
        <v>0.61</v>
      </c>
      <c r="F62" s="28">
        <v>0.52</v>
      </c>
      <c r="G62" s="28">
        <v>0.28000000000000003</v>
      </c>
      <c r="H62" s="28">
        <v>0.1</v>
      </c>
      <c r="I62" s="28">
        <v>0.26</v>
      </c>
      <c r="J62" s="28">
        <v>0.46</v>
      </c>
      <c r="K62" s="29">
        <v>0.54</v>
      </c>
      <c r="L62" s="417">
        <f t="shared" si="2"/>
        <v>0.1</v>
      </c>
    </row>
    <row r="63" spans="2:12" ht="14.25" x14ac:dyDescent="0.25">
      <c r="B63" s="15"/>
      <c r="C63" s="22" t="s">
        <v>23</v>
      </c>
      <c r="D63" s="30">
        <v>0.13</v>
      </c>
      <c r="E63" s="31">
        <v>0.12</v>
      </c>
      <c r="F63" s="31">
        <v>0.14000000000000001</v>
      </c>
      <c r="G63" s="31">
        <v>0.17</v>
      </c>
      <c r="H63" s="31">
        <v>0.2</v>
      </c>
      <c r="I63" s="31">
        <v>0.19</v>
      </c>
      <c r="J63" s="31">
        <v>0.22</v>
      </c>
      <c r="K63" s="32">
        <v>0.15</v>
      </c>
      <c r="L63" s="418">
        <f t="shared" si="2"/>
        <v>0.2</v>
      </c>
    </row>
    <row r="64" spans="2:12" x14ac:dyDescent="0.2">
      <c r="B64" s="2"/>
    </row>
    <row r="66" spans="2:74" x14ac:dyDescent="0.2">
      <c r="B66" s="2" t="s">
        <v>328</v>
      </c>
    </row>
    <row r="67" spans="2:74" x14ac:dyDescent="0.2">
      <c r="D67" s="2" t="s">
        <v>124</v>
      </c>
      <c r="M67" s="2" t="s">
        <v>124</v>
      </c>
      <c r="V67" s="2" t="s">
        <v>124</v>
      </c>
    </row>
    <row r="68" spans="2:74" ht="14.25" x14ac:dyDescent="0.25">
      <c r="B68" s="39" t="s">
        <v>34</v>
      </c>
      <c r="C68" s="35"/>
      <c r="D68" s="35"/>
      <c r="E68" s="35"/>
      <c r="F68" s="35"/>
      <c r="G68" s="35"/>
      <c r="H68" s="35"/>
      <c r="I68" s="35"/>
      <c r="J68" s="35"/>
      <c r="K68" s="33"/>
      <c r="M68" s="39" t="s">
        <v>34</v>
      </c>
      <c r="N68" s="35"/>
      <c r="O68" s="35"/>
      <c r="P68" s="35"/>
      <c r="Q68" s="35"/>
      <c r="R68" s="35"/>
      <c r="S68" s="35"/>
      <c r="T68" s="33"/>
      <c r="V68" s="39" t="s">
        <v>34</v>
      </c>
      <c r="W68" s="35"/>
      <c r="X68" s="35"/>
      <c r="Y68" s="35"/>
      <c r="Z68" s="35"/>
      <c r="AA68" s="35"/>
      <c r="AB68" s="35"/>
      <c r="AC68" s="33"/>
      <c r="AE68" s="39" t="s">
        <v>34</v>
      </c>
      <c r="AF68" s="35"/>
      <c r="AG68" s="35"/>
      <c r="AH68" s="35"/>
      <c r="AI68" s="35"/>
      <c r="AJ68" s="35"/>
      <c r="AK68" s="35"/>
      <c r="AL68" s="33"/>
      <c r="AN68" s="39" t="s">
        <v>34</v>
      </c>
      <c r="AO68" s="35"/>
      <c r="AP68" s="35"/>
      <c r="AQ68" s="35"/>
      <c r="AR68" s="35"/>
      <c r="AS68" s="35"/>
      <c r="AT68" s="35"/>
      <c r="AU68" s="33"/>
      <c r="AW68" s="39" t="s">
        <v>34</v>
      </c>
      <c r="AX68" s="35"/>
      <c r="AY68" s="35"/>
      <c r="AZ68" s="35"/>
      <c r="BA68" s="35"/>
      <c r="BB68" s="35"/>
      <c r="BC68" s="35"/>
      <c r="BD68" s="33"/>
      <c r="BF68" s="39" t="s">
        <v>34</v>
      </c>
      <c r="BG68" s="35"/>
      <c r="BH68" s="35"/>
      <c r="BI68" s="35"/>
      <c r="BJ68" s="35"/>
      <c r="BK68" s="35"/>
      <c r="BL68" s="35"/>
      <c r="BM68" s="33"/>
      <c r="BO68" s="39" t="s">
        <v>34</v>
      </c>
      <c r="BP68" s="35"/>
      <c r="BQ68" s="35"/>
      <c r="BR68" s="35"/>
      <c r="BS68" s="35"/>
      <c r="BT68" s="35"/>
      <c r="BU68" s="35"/>
      <c r="BV68" s="33"/>
    </row>
    <row r="69" spans="2:74" x14ac:dyDescent="0.2">
      <c r="B69" s="39" t="s">
        <v>43</v>
      </c>
      <c r="C69" s="35"/>
      <c r="D69" s="35"/>
      <c r="E69" s="35"/>
      <c r="F69" s="35"/>
      <c r="G69" s="35"/>
      <c r="H69" s="35"/>
      <c r="I69" s="35"/>
      <c r="J69" s="35"/>
      <c r="K69" s="47" t="s">
        <v>44</v>
      </c>
      <c r="M69" s="39" t="s">
        <v>45</v>
      </c>
      <c r="N69" s="46"/>
      <c r="O69" s="35"/>
      <c r="P69" s="35"/>
      <c r="Q69" s="35"/>
      <c r="R69" s="35"/>
      <c r="S69" s="35"/>
      <c r="T69" s="47" t="s">
        <v>44</v>
      </c>
      <c r="V69" s="39" t="s">
        <v>46</v>
      </c>
      <c r="W69" s="35"/>
      <c r="X69" s="35"/>
      <c r="Y69" s="35"/>
      <c r="Z69" s="35"/>
      <c r="AA69" s="35"/>
      <c r="AB69" s="35"/>
      <c r="AC69" s="47" t="s">
        <v>44</v>
      </c>
      <c r="AE69" s="39" t="s">
        <v>37</v>
      </c>
      <c r="AF69" s="35"/>
      <c r="AG69" s="35"/>
      <c r="AH69" s="35"/>
      <c r="AI69" s="35"/>
      <c r="AJ69" s="35"/>
      <c r="AK69" s="35"/>
      <c r="AL69" s="33"/>
      <c r="AN69" s="39" t="s">
        <v>38</v>
      </c>
      <c r="AO69" s="35"/>
      <c r="AP69" s="35"/>
      <c r="AQ69" s="35"/>
      <c r="AR69" s="35"/>
      <c r="AS69" s="35"/>
      <c r="AT69" s="35"/>
      <c r="AU69" s="47" t="s">
        <v>39</v>
      </c>
      <c r="AW69" s="39" t="s">
        <v>40</v>
      </c>
      <c r="AX69" s="35"/>
      <c r="AY69" s="35"/>
      <c r="AZ69" s="35"/>
      <c r="BA69" s="35"/>
      <c r="BB69" s="35"/>
      <c r="BC69" s="35"/>
      <c r="BD69" s="33"/>
      <c r="BF69" s="39" t="s">
        <v>41</v>
      </c>
      <c r="BG69" s="35"/>
      <c r="BH69" s="35"/>
      <c r="BI69" s="35"/>
      <c r="BJ69" s="35"/>
      <c r="BK69" s="35"/>
      <c r="BL69" s="35"/>
      <c r="BM69" s="47" t="s">
        <v>42</v>
      </c>
      <c r="BO69" s="39" t="s">
        <v>27</v>
      </c>
      <c r="BP69" s="35"/>
      <c r="BQ69" s="35"/>
      <c r="BR69" s="35"/>
      <c r="BS69" s="35"/>
      <c r="BT69" s="35"/>
      <c r="BU69" s="35"/>
      <c r="BV69" s="33"/>
    </row>
    <row r="70" spans="2:74" ht="22.5" x14ac:dyDescent="0.2">
      <c r="B70" s="13" t="s">
        <v>29</v>
      </c>
      <c r="C70" s="36" t="s">
        <v>3</v>
      </c>
      <c r="D70" s="7" t="s">
        <v>28</v>
      </c>
      <c r="E70" s="8"/>
      <c r="F70" s="8"/>
      <c r="G70" s="8"/>
      <c r="H70" s="8"/>
      <c r="I70" s="8"/>
      <c r="J70" s="8"/>
      <c r="K70" s="9"/>
      <c r="M70" s="7" t="s">
        <v>28</v>
      </c>
      <c r="N70" s="8"/>
      <c r="O70" s="8"/>
      <c r="P70" s="8"/>
      <c r="Q70" s="8"/>
      <c r="R70" s="8"/>
      <c r="S70" s="8"/>
      <c r="T70" s="9"/>
      <c r="V70" s="7" t="s">
        <v>28</v>
      </c>
      <c r="W70" s="8"/>
      <c r="X70" s="8"/>
      <c r="Y70" s="8"/>
      <c r="Z70" s="8"/>
      <c r="AA70" s="8"/>
      <c r="AB70" s="8"/>
      <c r="AC70" s="9"/>
      <c r="AE70" s="7" t="s">
        <v>28</v>
      </c>
      <c r="AF70" s="8"/>
      <c r="AG70" s="8"/>
      <c r="AH70" s="8"/>
      <c r="AI70" s="8"/>
      <c r="AJ70" s="8"/>
      <c r="AK70" s="8"/>
      <c r="AL70" s="9"/>
      <c r="AN70" s="7" t="s">
        <v>28</v>
      </c>
      <c r="AO70" s="8"/>
      <c r="AP70" s="8"/>
      <c r="AQ70" s="8"/>
      <c r="AR70" s="8"/>
      <c r="AS70" s="8"/>
      <c r="AT70" s="8"/>
      <c r="AU70" s="9"/>
      <c r="AW70" s="7" t="s">
        <v>28</v>
      </c>
      <c r="AX70" s="8"/>
      <c r="AY70" s="8"/>
      <c r="AZ70" s="8"/>
      <c r="BA70" s="8"/>
      <c r="BB70" s="8"/>
      <c r="BC70" s="8"/>
      <c r="BD70" s="9"/>
      <c r="BF70" s="7" t="s">
        <v>28</v>
      </c>
      <c r="BG70" s="8"/>
      <c r="BH70" s="8"/>
      <c r="BI70" s="8"/>
      <c r="BJ70" s="8"/>
      <c r="BK70" s="8"/>
      <c r="BL70" s="8"/>
      <c r="BM70" s="9"/>
      <c r="BO70" s="7" t="s">
        <v>28</v>
      </c>
      <c r="BP70" s="8"/>
      <c r="BQ70" s="8"/>
      <c r="BR70" s="8"/>
      <c r="BS70" s="8"/>
      <c r="BT70" s="8"/>
      <c r="BU70" s="8"/>
      <c r="BV70" s="9"/>
    </row>
    <row r="71" spans="2:74" ht="22.5" x14ac:dyDescent="0.2">
      <c r="B71" s="37" t="s">
        <v>30</v>
      </c>
      <c r="C71" s="38" t="s">
        <v>30</v>
      </c>
      <c r="D71" s="40" t="s">
        <v>16</v>
      </c>
      <c r="E71" s="41" t="s">
        <v>24</v>
      </c>
      <c r="F71" s="41" t="s">
        <v>17</v>
      </c>
      <c r="G71" s="41" t="s">
        <v>25</v>
      </c>
      <c r="H71" s="41" t="s">
        <v>18</v>
      </c>
      <c r="I71" s="41" t="s">
        <v>19</v>
      </c>
      <c r="J71" s="41" t="s">
        <v>20</v>
      </c>
      <c r="K71" s="42" t="s">
        <v>26</v>
      </c>
      <c r="M71" s="40" t="s">
        <v>16</v>
      </c>
      <c r="N71" s="41" t="s">
        <v>24</v>
      </c>
      <c r="O71" s="41" t="s">
        <v>17</v>
      </c>
      <c r="P71" s="41" t="s">
        <v>25</v>
      </c>
      <c r="Q71" s="41" t="s">
        <v>18</v>
      </c>
      <c r="R71" s="41" t="s">
        <v>19</v>
      </c>
      <c r="S71" s="41" t="s">
        <v>20</v>
      </c>
      <c r="T71" s="42" t="s">
        <v>26</v>
      </c>
      <c r="V71" s="40" t="s">
        <v>16</v>
      </c>
      <c r="W71" s="41" t="s">
        <v>24</v>
      </c>
      <c r="X71" s="41" t="s">
        <v>17</v>
      </c>
      <c r="Y71" s="41" t="s">
        <v>25</v>
      </c>
      <c r="Z71" s="41" t="s">
        <v>18</v>
      </c>
      <c r="AA71" s="41" t="s">
        <v>19</v>
      </c>
      <c r="AB71" s="41" t="s">
        <v>20</v>
      </c>
      <c r="AC71" s="42" t="s">
        <v>26</v>
      </c>
      <c r="AE71" s="40" t="s">
        <v>16</v>
      </c>
      <c r="AF71" s="41" t="s">
        <v>24</v>
      </c>
      <c r="AG71" s="41" t="s">
        <v>17</v>
      </c>
      <c r="AH71" s="41" t="s">
        <v>25</v>
      </c>
      <c r="AI71" s="41" t="s">
        <v>18</v>
      </c>
      <c r="AJ71" s="41" t="s">
        <v>19</v>
      </c>
      <c r="AK71" s="41" t="s">
        <v>20</v>
      </c>
      <c r="AL71" s="42" t="s">
        <v>26</v>
      </c>
      <c r="AN71" s="40" t="s">
        <v>16</v>
      </c>
      <c r="AO71" s="41" t="s">
        <v>24</v>
      </c>
      <c r="AP71" s="41" t="s">
        <v>17</v>
      </c>
      <c r="AQ71" s="41" t="s">
        <v>25</v>
      </c>
      <c r="AR71" s="41" t="s">
        <v>18</v>
      </c>
      <c r="AS71" s="41" t="s">
        <v>19</v>
      </c>
      <c r="AT71" s="41" t="s">
        <v>20</v>
      </c>
      <c r="AU71" s="42" t="s">
        <v>26</v>
      </c>
      <c r="AW71" s="40" t="s">
        <v>16</v>
      </c>
      <c r="AX71" s="41" t="s">
        <v>24</v>
      </c>
      <c r="AY71" s="41" t="s">
        <v>17</v>
      </c>
      <c r="AZ71" s="41" t="s">
        <v>25</v>
      </c>
      <c r="BA71" s="41" t="s">
        <v>18</v>
      </c>
      <c r="BB71" s="41" t="s">
        <v>19</v>
      </c>
      <c r="BC71" s="41" t="s">
        <v>20</v>
      </c>
      <c r="BD71" s="42" t="s">
        <v>26</v>
      </c>
      <c r="BF71" s="40" t="s">
        <v>16</v>
      </c>
      <c r="BG71" s="41" t="s">
        <v>24</v>
      </c>
      <c r="BH71" s="41" t="s">
        <v>17</v>
      </c>
      <c r="BI71" s="41" t="s">
        <v>25</v>
      </c>
      <c r="BJ71" s="41" t="s">
        <v>18</v>
      </c>
      <c r="BK71" s="41" t="s">
        <v>19</v>
      </c>
      <c r="BL71" s="41" t="s">
        <v>20</v>
      </c>
      <c r="BM71" s="42" t="s">
        <v>26</v>
      </c>
      <c r="BO71" s="40" t="s">
        <v>16</v>
      </c>
      <c r="BP71" s="41" t="s">
        <v>24</v>
      </c>
      <c r="BQ71" s="41" t="s">
        <v>17</v>
      </c>
      <c r="BR71" s="41" t="s">
        <v>25</v>
      </c>
      <c r="BS71" s="41" t="s">
        <v>18</v>
      </c>
      <c r="BT71" s="41" t="s">
        <v>19</v>
      </c>
      <c r="BU71" s="41" t="s">
        <v>20</v>
      </c>
      <c r="BV71" s="42" t="s">
        <v>26</v>
      </c>
    </row>
    <row r="72" spans="2:74" ht="12.75" customHeight="1" x14ac:dyDescent="0.2">
      <c r="B72" s="653" t="s">
        <v>31</v>
      </c>
      <c r="C72" s="48">
        <v>0</v>
      </c>
      <c r="D72" s="51">
        <v>1</v>
      </c>
      <c r="E72" s="52">
        <v>1</v>
      </c>
      <c r="F72" s="52">
        <v>1</v>
      </c>
      <c r="G72" s="52">
        <v>1</v>
      </c>
      <c r="H72" s="52">
        <v>1</v>
      </c>
      <c r="I72" s="52">
        <v>1</v>
      </c>
      <c r="J72" s="52">
        <v>1</v>
      </c>
      <c r="K72" s="53">
        <v>1</v>
      </c>
      <c r="M72" s="51">
        <v>1</v>
      </c>
      <c r="N72" s="52">
        <v>1</v>
      </c>
      <c r="O72" s="52">
        <v>1</v>
      </c>
      <c r="P72" s="52">
        <v>1</v>
      </c>
      <c r="Q72" s="52">
        <v>1</v>
      </c>
      <c r="R72" s="52">
        <v>1</v>
      </c>
      <c r="S72" s="52">
        <v>1</v>
      </c>
      <c r="T72" s="53">
        <v>1</v>
      </c>
      <c r="V72" s="51">
        <v>1</v>
      </c>
      <c r="W72" s="52">
        <v>1</v>
      </c>
      <c r="X72" s="52">
        <v>1</v>
      </c>
      <c r="Y72" s="52">
        <v>1</v>
      </c>
      <c r="Z72" s="52">
        <v>1</v>
      </c>
      <c r="AA72" s="52">
        <v>1</v>
      </c>
      <c r="AB72" s="52">
        <v>1</v>
      </c>
      <c r="AC72" s="53">
        <v>1</v>
      </c>
      <c r="AE72" s="51">
        <v>1</v>
      </c>
      <c r="AF72" s="52">
        <v>1</v>
      </c>
      <c r="AG72" s="52">
        <v>1</v>
      </c>
      <c r="AH72" s="52">
        <v>1</v>
      </c>
      <c r="AI72" s="52">
        <v>1</v>
      </c>
      <c r="AJ72" s="52">
        <v>1</v>
      </c>
      <c r="AK72" s="52">
        <v>1</v>
      </c>
      <c r="AL72" s="53">
        <v>1</v>
      </c>
      <c r="AN72" s="51">
        <v>1</v>
      </c>
      <c r="AO72" s="52">
        <v>1</v>
      </c>
      <c r="AP72" s="52">
        <v>1</v>
      </c>
      <c r="AQ72" s="52">
        <v>1</v>
      </c>
      <c r="AR72" s="52">
        <v>1</v>
      </c>
      <c r="AS72" s="52">
        <v>1</v>
      </c>
      <c r="AT72" s="52">
        <v>1</v>
      </c>
      <c r="AU72" s="53">
        <v>1</v>
      </c>
      <c r="AW72" s="51">
        <v>1</v>
      </c>
      <c r="AX72" s="52">
        <v>1</v>
      </c>
      <c r="AY72" s="52">
        <v>1</v>
      </c>
      <c r="AZ72" s="52">
        <v>1</v>
      </c>
      <c r="BA72" s="52">
        <v>1</v>
      </c>
      <c r="BB72" s="52">
        <v>1</v>
      </c>
      <c r="BC72" s="52">
        <v>1</v>
      </c>
      <c r="BD72" s="53">
        <v>1</v>
      </c>
      <c r="BF72" s="51">
        <v>1</v>
      </c>
      <c r="BG72" s="52">
        <v>1</v>
      </c>
      <c r="BH72" s="52">
        <v>1</v>
      </c>
      <c r="BI72" s="52">
        <v>1</v>
      </c>
      <c r="BJ72" s="52">
        <v>1</v>
      </c>
      <c r="BK72" s="52">
        <v>1</v>
      </c>
      <c r="BL72" s="52">
        <v>1</v>
      </c>
      <c r="BM72" s="53">
        <v>1</v>
      </c>
      <c r="BO72" s="51">
        <v>1</v>
      </c>
      <c r="BP72" s="52">
        <v>1</v>
      </c>
      <c r="BQ72" s="52">
        <v>1</v>
      </c>
      <c r="BR72" s="52">
        <v>1</v>
      </c>
      <c r="BS72" s="52">
        <v>1</v>
      </c>
      <c r="BT72" s="52">
        <v>1</v>
      </c>
      <c r="BU72" s="52">
        <v>1</v>
      </c>
      <c r="BV72" s="53">
        <v>1</v>
      </c>
    </row>
    <row r="73" spans="2:74" ht="12.75" customHeight="1" x14ac:dyDescent="0.2">
      <c r="B73" s="653"/>
      <c r="C73" s="49">
        <v>0.2</v>
      </c>
      <c r="D73" s="54">
        <v>1</v>
      </c>
      <c r="E73" s="55">
        <v>1</v>
      </c>
      <c r="F73" s="55">
        <v>1</v>
      </c>
      <c r="G73" s="55">
        <v>1</v>
      </c>
      <c r="H73" s="55">
        <v>1</v>
      </c>
      <c r="I73" s="55">
        <v>1</v>
      </c>
      <c r="J73" s="55">
        <v>1</v>
      </c>
      <c r="K73" s="56">
        <v>1</v>
      </c>
      <c r="M73" s="54">
        <v>1</v>
      </c>
      <c r="N73" s="55">
        <v>1</v>
      </c>
      <c r="O73" s="55">
        <v>1</v>
      </c>
      <c r="P73" s="55">
        <v>1</v>
      </c>
      <c r="Q73" s="55">
        <v>1</v>
      </c>
      <c r="R73" s="55">
        <v>1</v>
      </c>
      <c r="S73" s="55">
        <v>1</v>
      </c>
      <c r="T73" s="56">
        <v>1</v>
      </c>
      <c r="V73" s="54">
        <v>1</v>
      </c>
      <c r="W73" s="55">
        <v>1</v>
      </c>
      <c r="X73" s="55">
        <v>1</v>
      </c>
      <c r="Y73" s="55">
        <v>1</v>
      </c>
      <c r="Z73" s="55">
        <v>1</v>
      </c>
      <c r="AA73" s="55">
        <v>1</v>
      </c>
      <c r="AB73" s="55">
        <v>1</v>
      </c>
      <c r="AC73" s="56">
        <v>1</v>
      </c>
      <c r="AE73" s="54">
        <v>0.96</v>
      </c>
      <c r="AF73" s="55">
        <v>0.95</v>
      </c>
      <c r="AG73" s="55">
        <v>0.92</v>
      </c>
      <c r="AH73" s="55">
        <v>0.9</v>
      </c>
      <c r="AI73" s="55">
        <v>0.94</v>
      </c>
      <c r="AJ73" s="55">
        <v>0.92</v>
      </c>
      <c r="AK73" s="55">
        <v>0.92</v>
      </c>
      <c r="AL73" s="56">
        <v>0.95</v>
      </c>
      <c r="AN73" s="54">
        <v>0.96</v>
      </c>
      <c r="AO73" s="55">
        <v>0.95</v>
      </c>
      <c r="AP73" s="55">
        <v>0.92</v>
      </c>
      <c r="AQ73" s="55">
        <v>0.9</v>
      </c>
      <c r="AR73" s="55">
        <v>0.94</v>
      </c>
      <c r="AS73" s="55">
        <v>0.92</v>
      </c>
      <c r="AT73" s="55">
        <v>0.92</v>
      </c>
      <c r="AU73" s="56">
        <v>0.95</v>
      </c>
      <c r="AW73" s="54">
        <v>0.95</v>
      </c>
      <c r="AX73" s="55">
        <v>0.93</v>
      </c>
      <c r="AY73" s="55">
        <v>0.91</v>
      </c>
      <c r="AZ73" s="55">
        <v>0.9</v>
      </c>
      <c r="BA73" s="55">
        <v>0.93</v>
      </c>
      <c r="BB73" s="55">
        <v>0.91</v>
      </c>
      <c r="BC73" s="55">
        <v>0.91</v>
      </c>
      <c r="BD73" s="56">
        <v>0.93</v>
      </c>
      <c r="BF73" s="54">
        <v>0.95</v>
      </c>
      <c r="BG73" s="55">
        <v>0.93</v>
      </c>
      <c r="BH73" s="55">
        <v>0.91</v>
      </c>
      <c r="BI73" s="55">
        <v>0.9</v>
      </c>
      <c r="BJ73" s="55">
        <v>0.93</v>
      </c>
      <c r="BK73" s="55">
        <v>0.91</v>
      </c>
      <c r="BL73" s="55">
        <v>0.91</v>
      </c>
      <c r="BM73" s="56">
        <v>0.93</v>
      </c>
      <c r="BO73" s="54">
        <v>0.9</v>
      </c>
      <c r="BP73" s="55">
        <v>0.91</v>
      </c>
      <c r="BQ73" s="55">
        <v>0.9</v>
      </c>
      <c r="BR73" s="55">
        <v>0.93</v>
      </c>
      <c r="BS73" s="55">
        <v>0.93</v>
      </c>
      <c r="BT73" s="55">
        <v>0.91</v>
      </c>
      <c r="BU73" s="55">
        <v>0.92</v>
      </c>
      <c r="BV73" s="56">
        <v>0.91</v>
      </c>
    </row>
    <row r="74" spans="2:74" x14ac:dyDescent="0.2">
      <c r="B74" s="653"/>
      <c r="C74" s="49">
        <v>0.4</v>
      </c>
      <c r="D74" s="54">
        <v>1</v>
      </c>
      <c r="E74" s="55">
        <v>1</v>
      </c>
      <c r="F74" s="55">
        <v>1</v>
      </c>
      <c r="G74" s="55">
        <v>1</v>
      </c>
      <c r="H74" s="55">
        <v>1</v>
      </c>
      <c r="I74" s="55">
        <v>1</v>
      </c>
      <c r="J74" s="55">
        <v>1</v>
      </c>
      <c r="K74" s="56">
        <v>1</v>
      </c>
      <c r="M74" s="54">
        <v>1</v>
      </c>
      <c r="N74" s="55">
        <v>1</v>
      </c>
      <c r="O74" s="55">
        <v>1</v>
      </c>
      <c r="P74" s="55">
        <v>1</v>
      </c>
      <c r="Q74" s="55">
        <v>1</v>
      </c>
      <c r="R74" s="55">
        <v>1</v>
      </c>
      <c r="S74" s="55">
        <v>1</v>
      </c>
      <c r="T74" s="56">
        <v>1</v>
      </c>
      <c r="V74" s="54">
        <v>1</v>
      </c>
      <c r="W74" s="55">
        <v>1</v>
      </c>
      <c r="X74" s="55">
        <v>1</v>
      </c>
      <c r="Y74" s="55">
        <v>1</v>
      </c>
      <c r="Z74" s="55">
        <v>1</v>
      </c>
      <c r="AA74" s="55">
        <v>1</v>
      </c>
      <c r="AB74" s="55">
        <v>1</v>
      </c>
      <c r="AC74" s="56">
        <v>1</v>
      </c>
      <c r="AE74" s="54">
        <v>0.86</v>
      </c>
      <c r="AF74" s="55">
        <v>0.83</v>
      </c>
      <c r="AG74" s="55">
        <v>0.79</v>
      </c>
      <c r="AH74" s="55">
        <v>0.78</v>
      </c>
      <c r="AI74" s="55">
        <v>0.87</v>
      </c>
      <c r="AJ74" s="55">
        <v>0.83</v>
      </c>
      <c r="AK74" s="55">
        <v>0.8</v>
      </c>
      <c r="AL74" s="56">
        <v>0.85</v>
      </c>
      <c r="AN74" s="54">
        <v>0.86</v>
      </c>
      <c r="AO74" s="55">
        <v>0.83</v>
      </c>
      <c r="AP74" s="55">
        <v>0.79</v>
      </c>
      <c r="AQ74" s="55">
        <v>0.78</v>
      </c>
      <c r="AR74" s="55">
        <v>0.87</v>
      </c>
      <c r="AS74" s="55">
        <v>0.83</v>
      </c>
      <c r="AT74" s="55">
        <v>0.8</v>
      </c>
      <c r="AU74" s="56">
        <v>0.85</v>
      </c>
      <c r="AW74" s="54">
        <v>0.82</v>
      </c>
      <c r="AX74" s="55">
        <v>0.82</v>
      </c>
      <c r="AY74" s="55">
        <v>0.78</v>
      </c>
      <c r="AZ74" s="55">
        <v>0.79</v>
      </c>
      <c r="BA74" s="55">
        <v>0.86</v>
      </c>
      <c r="BB74" s="55">
        <v>0.81</v>
      </c>
      <c r="BC74" s="55">
        <v>0.78</v>
      </c>
      <c r="BD74" s="56">
        <v>0.8</v>
      </c>
      <c r="BF74" s="54">
        <v>0.82</v>
      </c>
      <c r="BG74" s="55">
        <v>0.82</v>
      </c>
      <c r="BH74" s="55">
        <v>0.78</v>
      </c>
      <c r="BI74" s="55">
        <v>0.79</v>
      </c>
      <c r="BJ74" s="55">
        <v>0.86</v>
      </c>
      <c r="BK74" s="55">
        <v>0.81</v>
      </c>
      <c r="BL74" s="55">
        <v>0.78</v>
      </c>
      <c r="BM74" s="56">
        <v>0.8</v>
      </c>
      <c r="BO74" s="54">
        <v>0.73</v>
      </c>
      <c r="BP74" s="55">
        <v>0.77</v>
      </c>
      <c r="BQ74" s="55">
        <v>0.77</v>
      </c>
      <c r="BR74" s="55">
        <v>0.89</v>
      </c>
      <c r="BS74" s="55">
        <v>0.85</v>
      </c>
      <c r="BT74" s="55">
        <v>0.8</v>
      </c>
      <c r="BU74" s="55">
        <v>0.8</v>
      </c>
      <c r="BV74" s="56">
        <v>0.77</v>
      </c>
    </row>
    <row r="75" spans="2:74" x14ac:dyDescent="0.2">
      <c r="B75" s="653"/>
      <c r="C75" s="49">
        <v>0.6</v>
      </c>
      <c r="D75" s="54">
        <v>1</v>
      </c>
      <c r="E75" s="55">
        <v>1</v>
      </c>
      <c r="F75" s="55">
        <v>1</v>
      </c>
      <c r="G75" s="55">
        <v>1</v>
      </c>
      <c r="H75" s="55">
        <v>1</v>
      </c>
      <c r="I75" s="55">
        <v>1</v>
      </c>
      <c r="J75" s="55">
        <v>1</v>
      </c>
      <c r="K75" s="56">
        <v>1</v>
      </c>
      <c r="M75" s="54">
        <v>1</v>
      </c>
      <c r="N75" s="55">
        <v>1</v>
      </c>
      <c r="O75" s="55">
        <v>1</v>
      </c>
      <c r="P75" s="55">
        <v>1</v>
      </c>
      <c r="Q75" s="55">
        <v>1</v>
      </c>
      <c r="R75" s="55">
        <v>1</v>
      </c>
      <c r="S75" s="55">
        <v>1</v>
      </c>
      <c r="T75" s="56">
        <v>1</v>
      </c>
      <c r="V75" s="54">
        <v>1</v>
      </c>
      <c r="W75" s="55">
        <v>1</v>
      </c>
      <c r="X75" s="55">
        <v>1</v>
      </c>
      <c r="Y75" s="55">
        <v>1</v>
      </c>
      <c r="Z75" s="55">
        <v>1</v>
      </c>
      <c r="AA75" s="55">
        <v>1</v>
      </c>
      <c r="AB75" s="55">
        <v>1</v>
      </c>
      <c r="AC75" s="56">
        <v>1</v>
      </c>
      <c r="AE75" s="54">
        <v>0.66</v>
      </c>
      <c r="AF75" s="55">
        <v>0.65</v>
      </c>
      <c r="AG75" s="55">
        <v>0.63</v>
      </c>
      <c r="AH75" s="55">
        <v>0.69</v>
      </c>
      <c r="AI75" s="55">
        <v>0.81</v>
      </c>
      <c r="AJ75" s="55">
        <v>0.74</v>
      </c>
      <c r="AK75" s="55">
        <v>0.66</v>
      </c>
      <c r="AL75" s="56">
        <v>0.7</v>
      </c>
      <c r="AN75" s="54">
        <v>0.66</v>
      </c>
      <c r="AO75" s="55">
        <v>0.65</v>
      </c>
      <c r="AP75" s="55">
        <v>0.63</v>
      </c>
      <c r="AQ75" s="55">
        <v>0.69</v>
      </c>
      <c r="AR75" s="55">
        <v>0.81</v>
      </c>
      <c r="AS75" s="55">
        <v>0.74</v>
      </c>
      <c r="AT75" s="55">
        <v>0.66</v>
      </c>
      <c r="AU75" s="56">
        <v>0.7</v>
      </c>
      <c r="AW75" s="54">
        <v>0.61</v>
      </c>
      <c r="AX75" s="55">
        <v>0.66</v>
      </c>
      <c r="AY75" s="55">
        <v>0.64</v>
      </c>
      <c r="AZ75" s="55">
        <v>0.7</v>
      </c>
      <c r="BA75" s="55">
        <v>0.8</v>
      </c>
      <c r="BB75" s="55">
        <v>0.71</v>
      </c>
      <c r="BC75" s="55">
        <v>0.64</v>
      </c>
      <c r="BD75" s="56">
        <v>0.62</v>
      </c>
      <c r="BF75" s="54">
        <v>0.61</v>
      </c>
      <c r="BG75" s="55">
        <v>0.66</v>
      </c>
      <c r="BH75" s="55">
        <v>0.64</v>
      </c>
      <c r="BI75" s="55">
        <v>0.7</v>
      </c>
      <c r="BJ75" s="55">
        <v>0.8</v>
      </c>
      <c r="BK75" s="55">
        <v>0.71</v>
      </c>
      <c r="BL75" s="55">
        <v>0.64</v>
      </c>
      <c r="BM75" s="56">
        <v>0.62</v>
      </c>
      <c r="BO75" s="54">
        <v>0.55000000000000004</v>
      </c>
      <c r="BP75" s="55">
        <v>0.63</v>
      </c>
      <c r="BQ75" s="55">
        <v>0.68</v>
      </c>
      <c r="BR75" s="55">
        <v>0.83</v>
      </c>
      <c r="BS75" s="55">
        <v>0.77</v>
      </c>
      <c r="BT75" s="55">
        <v>0.72</v>
      </c>
      <c r="BU75" s="55">
        <v>0.68</v>
      </c>
      <c r="BV75" s="56">
        <v>0.62</v>
      </c>
    </row>
    <row r="76" spans="2:74" x14ac:dyDescent="0.2">
      <c r="B76" s="653"/>
      <c r="C76" s="49">
        <v>0.8</v>
      </c>
      <c r="D76" s="54">
        <v>1</v>
      </c>
      <c r="E76" s="55">
        <v>1</v>
      </c>
      <c r="F76" s="55">
        <v>1</v>
      </c>
      <c r="G76" s="55">
        <v>1</v>
      </c>
      <c r="H76" s="55">
        <v>1</v>
      </c>
      <c r="I76" s="55">
        <v>1</v>
      </c>
      <c r="J76" s="55">
        <v>1</v>
      </c>
      <c r="K76" s="56">
        <v>1</v>
      </c>
      <c r="M76" s="54">
        <v>1</v>
      </c>
      <c r="N76" s="55">
        <v>1</v>
      </c>
      <c r="O76" s="55">
        <v>1</v>
      </c>
      <c r="P76" s="55">
        <v>1</v>
      </c>
      <c r="Q76" s="55">
        <v>1</v>
      </c>
      <c r="R76" s="55">
        <v>1</v>
      </c>
      <c r="S76" s="55">
        <v>1</v>
      </c>
      <c r="T76" s="56">
        <v>1</v>
      </c>
      <c r="V76" s="54">
        <v>1</v>
      </c>
      <c r="W76" s="55">
        <v>1</v>
      </c>
      <c r="X76" s="55">
        <v>1</v>
      </c>
      <c r="Y76" s="55">
        <v>1</v>
      </c>
      <c r="Z76" s="55">
        <v>1</v>
      </c>
      <c r="AA76" s="55">
        <v>1</v>
      </c>
      <c r="AB76" s="55">
        <v>1</v>
      </c>
      <c r="AC76" s="56">
        <v>1</v>
      </c>
      <c r="AE76" s="54">
        <v>0.3</v>
      </c>
      <c r="AF76" s="55">
        <v>0.41</v>
      </c>
      <c r="AG76" s="55">
        <v>0.43</v>
      </c>
      <c r="AH76" s="55">
        <v>0.62</v>
      </c>
      <c r="AI76" s="55">
        <v>0.77</v>
      </c>
      <c r="AJ76" s="55">
        <v>0.66</v>
      </c>
      <c r="AK76" s="55">
        <v>0.5</v>
      </c>
      <c r="AL76" s="56">
        <v>0.47</v>
      </c>
      <c r="AN76" s="54">
        <v>0.3</v>
      </c>
      <c r="AO76" s="55">
        <v>0.41</v>
      </c>
      <c r="AP76" s="55">
        <v>0.43</v>
      </c>
      <c r="AQ76" s="55">
        <v>0.62</v>
      </c>
      <c r="AR76" s="55">
        <v>0.77</v>
      </c>
      <c r="AS76" s="55">
        <v>0.66</v>
      </c>
      <c r="AT76" s="55">
        <v>0.5</v>
      </c>
      <c r="AU76" s="56">
        <v>0.47</v>
      </c>
      <c r="AW76" s="54">
        <v>0.31</v>
      </c>
      <c r="AX76" s="55">
        <v>0.46</v>
      </c>
      <c r="AY76" s="55">
        <v>0.49</v>
      </c>
      <c r="AZ76" s="55">
        <v>0.63</v>
      </c>
      <c r="BA76" s="55">
        <v>0.74</v>
      </c>
      <c r="BB76" s="55">
        <v>0.63</v>
      </c>
      <c r="BC76" s="55">
        <v>0.52</v>
      </c>
      <c r="BD76" s="56">
        <v>0.41</v>
      </c>
      <c r="BF76" s="54">
        <v>0.31</v>
      </c>
      <c r="BG76" s="55">
        <v>0.46</v>
      </c>
      <c r="BH76" s="55">
        <v>0.49</v>
      </c>
      <c r="BI76" s="55">
        <v>0.63</v>
      </c>
      <c r="BJ76" s="55">
        <v>0.74</v>
      </c>
      <c r="BK76" s="55">
        <v>0.63</v>
      </c>
      <c r="BL76" s="55">
        <v>0.52</v>
      </c>
      <c r="BM76" s="56">
        <v>0.41</v>
      </c>
      <c r="BO76" s="54">
        <v>0.37</v>
      </c>
      <c r="BP76" s="55">
        <v>0.5</v>
      </c>
      <c r="BQ76" s="55">
        <v>0.61</v>
      </c>
      <c r="BR76" s="55">
        <v>0.75</v>
      </c>
      <c r="BS76" s="55">
        <v>0.71</v>
      </c>
      <c r="BT76" s="55">
        <v>0.67</v>
      </c>
      <c r="BU76" s="55">
        <v>0.56999999999999995</v>
      </c>
      <c r="BV76" s="56">
        <v>0.48</v>
      </c>
    </row>
    <row r="77" spans="2:74" x14ac:dyDescent="0.2">
      <c r="B77" s="653"/>
      <c r="C77" s="49">
        <v>1</v>
      </c>
      <c r="D77" s="54">
        <v>1</v>
      </c>
      <c r="E77" s="55">
        <v>1</v>
      </c>
      <c r="F77" s="55">
        <v>1</v>
      </c>
      <c r="G77" s="55">
        <v>1</v>
      </c>
      <c r="H77" s="55">
        <v>1</v>
      </c>
      <c r="I77" s="55">
        <v>1</v>
      </c>
      <c r="J77" s="55">
        <v>1</v>
      </c>
      <c r="K77" s="56">
        <v>1</v>
      </c>
      <c r="M77" s="54">
        <v>1</v>
      </c>
      <c r="N77" s="55">
        <v>1</v>
      </c>
      <c r="O77" s="55">
        <v>1</v>
      </c>
      <c r="P77" s="55">
        <v>1</v>
      </c>
      <c r="Q77" s="55">
        <v>1</v>
      </c>
      <c r="R77" s="55">
        <v>1</v>
      </c>
      <c r="S77" s="55">
        <v>1</v>
      </c>
      <c r="T77" s="56">
        <v>1</v>
      </c>
      <c r="V77" s="54">
        <v>1</v>
      </c>
      <c r="W77" s="55">
        <v>1</v>
      </c>
      <c r="X77" s="55">
        <v>1</v>
      </c>
      <c r="Y77" s="55">
        <v>1</v>
      </c>
      <c r="Z77" s="55">
        <v>1</v>
      </c>
      <c r="AA77" s="55">
        <v>1</v>
      </c>
      <c r="AB77" s="55">
        <v>1</v>
      </c>
      <c r="AC77" s="56">
        <v>1</v>
      </c>
      <c r="AE77" s="54">
        <v>0</v>
      </c>
      <c r="AF77" s="55">
        <v>0.08</v>
      </c>
      <c r="AG77" s="55">
        <v>0.22</v>
      </c>
      <c r="AH77" s="55">
        <v>0.56000000000000005</v>
      </c>
      <c r="AI77" s="55">
        <v>0.74</v>
      </c>
      <c r="AJ77" s="55">
        <v>0.6</v>
      </c>
      <c r="AK77" s="55">
        <v>0.35</v>
      </c>
      <c r="AL77" s="56">
        <v>0.15</v>
      </c>
      <c r="AN77" s="54">
        <v>0</v>
      </c>
      <c r="AO77" s="55">
        <v>0.08</v>
      </c>
      <c r="AP77" s="55">
        <v>0.22</v>
      </c>
      <c r="AQ77" s="55">
        <v>0.56000000000000005</v>
      </c>
      <c r="AR77" s="55">
        <v>0.74</v>
      </c>
      <c r="AS77" s="55">
        <v>0.6</v>
      </c>
      <c r="AT77" s="55">
        <v>0.35</v>
      </c>
      <c r="AU77" s="56">
        <v>0.15</v>
      </c>
      <c r="AW77" s="54">
        <v>0.02</v>
      </c>
      <c r="AX77" s="55">
        <v>0.23</v>
      </c>
      <c r="AY77" s="55">
        <v>0.35</v>
      </c>
      <c r="AZ77" s="55">
        <v>0.57999999999999996</v>
      </c>
      <c r="BA77" s="55">
        <v>0.7</v>
      </c>
      <c r="BB77" s="55">
        <v>0.56000000000000005</v>
      </c>
      <c r="BC77" s="55">
        <v>0.4</v>
      </c>
      <c r="BD77" s="56">
        <v>0.17</v>
      </c>
      <c r="BF77" s="54">
        <v>0.02</v>
      </c>
      <c r="BG77" s="55">
        <v>0.23</v>
      </c>
      <c r="BH77" s="55">
        <v>0.35</v>
      </c>
      <c r="BI77" s="55">
        <v>0.57999999999999996</v>
      </c>
      <c r="BJ77" s="55">
        <v>0.7</v>
      </c>
      <c r="BK77" s="55">
        <v>0.56000000000000005</v>
      </c>
      <c r="BL77" s="55">
        <v>0.4</v>
      </c>
      <c r="BM77" s="56">
        <v>0.17</v>
      </c>
      <c r="BO77" s="54">
        <v>0.19</v>
      </c>
      <c r="BP77" s="55">
        <v>0.35</v>
      </c>
      <c r="BQ77" s="55">
        <v>0.53</v>
      </c>
      <c r="BR77" s="55">
        <v>0.67</v>
      </c>
      <c r="BS77" s="55">
        <v>0.66</v>
      </c>
      <c r="BT77" s="55">
        <v>0.64</v>
      </c>
      <c r="BU77" s="55">
        <v>0.49</v>
      </c>
      <c r="BV77" s="56">
        <v>0.37</v>
      </c>
    </row>
    <row r="78" spans="2:74" x14ac:dyDescent="0.2">
      <c r="B78" s="653"/>
      <c r="C78" s="49">
        <v>1.2</v>
      </c>
      <c r="D78" s="54">
        <v>1</v>
      </c>
      <c r="E78" s="55">
        <v>1</v>
      </c>
      <c r="F78" s="55">
        <v>1</v>
      </c>
      <c r="G78" s="55">
        <v>1</v>
      </c>
      <c r="H78" s="55">
        <v>1</v>
      </c>
      <c r="I78" s="55">
        <v>1</v>
      </c>
      <c r="J78" s="55">
        <v>1</v>
      </c>
      <c r="K78" s="56">
        <v>1</v>
      </c>
      <c r="M78" s="54">
        <v>1</v>
      </c>
      <c r="N78" s="55">
        <v>1</v>
      </c>
      <c r="O78" s="55">
        <v>1</v>
      </c>
      <c r="P78" s="55">
        <v>1</v>
      </c>
      <c r="Q78" s="55">
        <v>1</v>
      </c>
      <c r="R78" s="55">
        <v>1</v>
      </c>
      <c r="S78" s="55">
        <v>1</v>
      </c>
      <c r="T78" s="56">
        <v>1</v>
      </c>
      <c r="V78" s="54">
        <v>1</v>
      </c>
      <c r="W78" s="55">
        <v>1</v>
      </c>
      <c r="X78" s="55">
        <v>1</v>
      </c>
      <c r="Y78" s="55">
        <v>1</v>
      </c>
      <c r="Z78" s="55">
        <v>1</v>
      </c>
      <c r="AA78" s="55">
        <v>1</v>
      </c>
      <c r="AB78" s="55">
        <v>1</v>
      </c>
      <c r="AC78" s="56">
        <v>1</v>
      </c>
      <c r="AE78" s="54">
        <v>0</v>
      </c>
      <c r="AF78" s="55">
        <v>0</v>
      </c>
      <c r="AG78" s="55">
        <v>0.08</v>
      </c>
      <c r="AH78" s="55">
        <v>0.52</v>
      </c>
      <c r="AI78" s="55">
        <v>0.71</v>
      </c>
      <c r="AJ78" s="55">
        <v>0.54</v>
      </c>
      <c r="AK78" s="55">
        <v>0.21</v>
      </c>
      <c r="AL78" s="56">
        <v>0</v>
      </c>
      <c r="AN78" s="54">
        <v>0</v>
      </c>
      <c r="AO78" s="55">
        <v>0</v>
      </c>
      <c r="AP78" s="55">
        <v>0.08</v>
      </c>
      <c r="AQ78" s="55">
        <v>0.52</v>
      </c>
      <c r="AR78" s="55">
        <v>0.71</v>
      </c>
      <c r="AS78" s="55">
        <v>0.54</v>
      </c>
      <c r="AT78" s="55">
        <v>0.21</v>
      </c>
      <c r="AU78" s="56">
        <v>0</v>
      </c>
      <c r="AW78" s="54">
        <v>0</v>
      </c>
      <c r="AX78" s="55">
        <v>0.04</v>
      </c>
      <c r="AY78" s="55">
        <v>0.23</v>
      </c>
      <c r="AZ78" s="55">
        <v>0.53</v>
      </c>
      <c r="BA78" s="55">
        <v>0.66</v>
      </c>
      <c r="BB78" s="55">
        <v>0.51</v>
      </c>
      <c r="BC78" s="55">
        <v>0.3</v>
      </c>
      <c r="BD78" s="56">
        <v>0.02</v>
      </c>
      <c r="BF78" s="54">
        <v>0</v>
      </c>
      <c r="BG78" s="55">
        <v>0.04</v>
      </c>
      <c r="BH78" s="55">
        <v>0.23</v>
      </c>
      <c r="BI78" s="55">
        <v>0.53</v>
      </c>
      <c r="BJ78" s="55">
        <v>0.66</v>
      </c>
      <c r="BK78" s="55">
        <v>0.51</v>
      </c>
      <c r="BL78" s="55">
        <v>0.3</v>
      </c>
      <c r="BM78" s="56">
        <v>0.02</v>
      </c>
      <c r="BO78" s="54">
        <v>7.0000000000000007E-2</v>
      </c>
      <c r="BP78" s="55">
        <v>0.22</v>
      </c>
      <c r="BQ78" s="55">
        <v>0.44</v>
      </c>
      <c r="BR78" s="55">
        <v>0.6</v>
      </c>
      <c r="BS78" s="55">
        <v>0.62</v>
      </c>
      <c r="BT78" s="55">
        <v>0.62</v>
      </c>
      <c r="BU78" s="55">
        <v>0.43</v>
      </c>
      <c r="BV78" s="56">
        <v>0.28999999999999998</v>
      </c>
    </row>
    <row r="79" spans="2:74" x14ac:dyDescent="0.2">
      <c r="B79" s="653"/>
      <c r="C79" s="49">
        <v>1.4</v>
      </c>
      <c r="D79" s="54">
        <v>1</v>
      </c>
      <c r="E79" s="55">
        <v>1</v>
      </c>
      <c r="F79" s="55">
        <v>1</v>
      </c>
      <c r="G79" s="55">
        <v>1</v>
      </c>
      <c r="H79" s="55">
        <v>1</v>
      </c>
      <c r="I79" s="55">
        <v>1</v>
      </c>
      <c r="J79" s="55">
        <v>1</v>
      </c>
      <c r="K79" s="56">
        <v>1</v>
      </c>
      <c r="M79" s="54">
        <v>1</v>
      </c>
      <c r="N79" s="55">
        <v>1</v>
      </c>
      <c r="O79" s="55">
        <v>1</v>
      </c>
      <c r="P79" s="55">
        <v>1</v>
      </c>
      <c r="Q79" s="55">
        <v>1</v>
      </c>
      <c r="R79" s="55">
        <v>1</v>
      </c>
      <c r="S79" s="55">
        <v>1</v>
      </c>
      <c r="T79" s="56">
        <v>1</v>
      </c>
      <c r="V79" s="54">
        <v>1</v>
      </c>
      <c r="W79" s="55">
        <v>1</v>
      </c>
      <c r="X79" s="55">
        <v>1</v>
      </c>
      <c r="Y79" s="55">
        <v>1</v>
      </c>
      <c r="Z79" s="55">
        <v>1</v>
      </c>
      <c r="AA79" s="55">
        <v>1</v>
      </c>
      <c r="AB79" s="55">
        <v>1</v>
      </c>
      <c r="AC79" s="56">
        <v>1</v>
      </c>
      <c r="AE79" s="54">
        <v>0</v>
      </c>
      <c r="AF79" s="55">
        <v>0</v>
      </c>
      <c r="AG79" s="55">
        <v>0.04</v>
      </c>
      <c r="AH79" s="55">
        <v>0.48</v>
      </c>
      <c r="AI79" s="55">
        <v>0.69</v>
      </c>
      <c r="AJ79" s="55">
        <v>0.5</v>
      </c>
      <c r="AK79" s="55">
        <v>0.12</v>
      </c>
      <c r="AL79" s="56">
        <v>0</v>
      </c>
      <c r="AN79" s="54">
        <v>0</v>
      </c>
      <c r="AO79" s="55">
        <v>0</v>
      </c>
      <c r="AP79" s="55">
        <v>0.04</v>
      </c>
      <c r="AQ79" s="55">
        <v>0.48</v>
      </c>
      <c r="AR79" s="55">
        <v>0.69</v>
      </c>
      <c r="AS79" s="55">
        <v>0.5</v>
      </c>
      <c r="AT79" s="55">
        <v>0.12</v>
      </c>
      <c r="AU79" s="56">
        <v>0</v>
      </c>
      <c r="AW79" s="54">
        <v>0</v>
      </c>
      <c r="AX79" s="55">
        <v>0</v>
      </c>
      <c r="AY79" s="55">
        <v>0.14000000000000001</v>
      </c>
      <c r="AZ79" s="55">
        <v>0.49</v>
      </c>
      <c r="BA79" s="55">
        <v>0.63</v>
      </c>
      <c r="BB79" s="55">
        <v>0.47</v>
      </c>
      <c r="BC79" s="55">
        <v>0.22</v>
      </c>
      <c r="BD79" s="56">
        <v>0</v>
      </c>
      <c r="BF79" s="54">
        <v>0</v>
      </c>
      <c r="BG79" s="55">
        <v>0</v>
      </c>
      <c r="BH79" s="55">
        <v>0.14000000000000001</v>
      </c>
      <c r="BI79" s="55">
        <v>0.49</v>
      </c>
      <c r="BJ79" s="55">
        <v>0.63</v>
      </c>
      <c r="BK79" s="55">
        <v>0.47</v>
      </c>
      <c r="BL79" s="55">
        <v>0.22</v>
      </c>
      <c r="BM79" s="56">
        <v>0</v>
      </c>
      <c r="BO79" s="54">
        <v>0</v>
      </c>
      <c r="BP79" s="55">
        <v>0.12</v>
      </c>
      <c r="BQ79" s="55">
        <v>0.36</v>
      </c>
      <c r="BR79" s="55">
        <v>0.53</v>
      </c>
      <c r="BS79" s="55">
        <v>0.59</v>
      </c>
      <c r="BT79" s="55">
        <v>0.59</v>
      </c>
      <c r="BU79" s="55">
        <v>0.38</v>
      </c>
      <c r="BV79" s="56">
        <v>0.21</v>
      </c>
    </row>
    <row r="80" spans="2:74" x14ac:dyDescent="0.2">
      <c r="B80" s="653"/>
      <c r="C80" s="49">
        <v>1.6</v>
      </c>
      <c r="D80" s="54">
        <v>1</v>
      </c>
      <c r="E80" s="55">
        <v>1</v>
      </c>
      <c r="F80" s="55">
        <v>1</v>
      </c>
      <c r="G80" s="55">
        <v>1</v>
      </c>
      <c r="H80" s="55">
        <v>1</v>
      </c>
      <c r="I80" s="55">
        <v>1</v>
      </c>
      <c r="J80" s="55">
        <v>1</v>
      </c>
      <c r="K80" s="56">
        <v>1</v>
      </c>
      <c r="M80" s="54">
        <v>1</v>
      </c>
      <c r="N80" s="55">
        <v>1</v>
      </c>
      <c r="O80" s="55">
        <v>1</v>
      </c>
      <c r="P80" s="55">
        <v>1</v>
      </c>
      <c r="Q80" s="55">
        <v>1</v>
      </c>
      <c r="R80" s="55">
        <v>1</v>
      </c>
      <c r="S80" s="55">
        <v>1</v>
      </c>
      <c r="T80" s="56">
        <v>1</v>
      </c>
      <c r="V80" s="54">
        <v>1</v>
      </c>
      <c r="W80" s="55">
        <v>1</v>
      </c>
      <c r="X80" s="55">
        <v>1</v>
      </c>
      <c r="Y80" s="55">
        <v>1</v>
      </c>
      <c r="Z80" s="55">
        <v>1</v>
      </c>
      <c r="AA80" s="55">
        <v>1</v>
      </c>
      <c r="AB80" s="55">
        <v>1</v>
      </c>
      <c r="AC80" s="56">
        <v>1</v>
      </c>
      <c r="AE80" s="54">
        <v>0</v>
      </c>
      <c r="AF80" s="55">
        <v>0</v>
      </c>
      <c r="AG80" s="55">
        <v>0.02</v>
      </c>
      <c r="AH80" s="55">
        <v>0.45</v>
      </c>
      <c r="AI80" s="55">
        <v>0.67</v>
      </c>
      <c r="AJ80" s="55">
        <v>0.46</v>
      </c>
      <c r="AK80" s="55">
        <v>0.08</v>
      </c>
      <c r="AL80" s="56">
        <v>0</v>
      </c>
      <c r="AN80" s="54">
        <v>0</v>
      </c>
      <c r="AO80" s="55">
        <v>0</v>
      </c>
      <c r="AP80" s="55">
        <v>0.02</v>
      </c>
      <c r="AQ80" s="55">
        <v>0.45</v>
      </c>
      <c r="AR80" s="55">
        <v>0.67</v>
      </c>
      <c r="AS80" s="55">
        <v>0.46</v>
      </c>
      <c r="AT80" s="55">
        <v>0.08</v>
      </c>
      <c r="AU80" s="56">
        <v>0</v>
      </c>
      <c r="AW80" s="54">
        <v>0</v>
      </c>
      <c r="AX80" s="55">
        <v>0</v>
      </c>
      <c r="AY80" s="55">
        <v>0.1</v>
      </c>
      <c r="AZ80" s="55">
        <v>0.45</v>
      </c>
      <c r="BA80" s="55">
        <v>0.6</v>
      </c>
      <c r="BB80" s="55">
        <v>0.44</v>
      </c>
      <c r="BC80" s="55">
        <v>0.16</v>
      </c>
      <c r="BD80" s="56">
        <v>0</v>
      </c>
      <c r="BF80" s="54">
        <v>0</v>
      </c>
      <c r="BG80" s="55">
        <v>0</v>
      </c>
      <c r="BH80" s="55">
        <v>0.1</v>
      </c>
      <c r="BI80" s="55">
        <v>0.45</v>
      </c>
      <c r="BJ80" s="55">
        <v>0.6</v>
      </c>
      <c r="BK80" s="55">
        <v>0.44</v>
      </c>
      <c r="BL80" s="55">
        <v>0.16</v>
      </c>
      <c r="BM80" s="56">
        <v>0</v>
      </c>
      <c r="BO80" s="54">
        <v>0</v>
      </c>
      <c r="BP80" s="55">
        <v>0.08</v>
      </c>
      <c r="BQ80" s="55">
        <v>0.28999999999999998</v>
      </c>
      <c r="BR80" s="55">
        <v>0.48</v>
      </c>
      <c r="BS80" s="55">
        <v>0.56000000000000005</v>
      </c>
      <c r="BT80" s="55">
        <v>0.56000000000000005</v>
      </c>
      <c r="BU80" s="55">
        <v>0.34</v>
      </c>
      <c r="BV80" s="56">
        <v>0.15</v>
      </c>
    </row>
    <row r="81" spans="2:74" x14ac:dyDescent="0.2">
      <c r="B81" s="653"/>
      <c r="C81" s="49">
        <v>1.8</v>
      </c>
      <c r="D81" s="54">
        <v>1</v>
      </c>
      <c r="E81" s="55">
        <v>1</v>
      </c>
      <c r="F81" s="55">
        <v>1</v>
      </c>
      <c r="G81" s="55">
        <v>1</v>
      </c>
      <c r="H81" s="55">
        <v>1</v>
      </c>
      <c r="I81" s="55">
        <v>1</v>
      </c>
      <c r="J81" s="55">
        <v>1</v>
      </c>
      <c r="K81" s="56">
        <v>1</v>
      </c>
      <c r="M81" s="54">
        <v>1</v>
      </c>
      <c r="N81" s="55">
        <v>1</v>
      </c>
      <c r="O81" s="55">
        <v>1</v>
      </c>
      <c r="P81" s="55">
        <v>1</v>
      </c>
      <c r="Q81" s="55">
        <v>1</v>
      </c>
      <c r="R81" s="55">
        <v>1</v>
      </c>
      <c r="S81" s="55">
        <v>1</v>
      </c>
      <c r="T81" s="56">
        <v>1</v>
      </c>
      <c r="V81" s="54">
        <v>1</v>
      </c>
      <c r="W81" s="55">
        <v>1</v>
      </c>
      <c r="X81" s="55">
        <v>1</v>
      </c>
      <c r="Y81" s="55">
        <v>1</v>
      </c>
      <c r="Z81" s="55">
        <v>1</v>
      </c>
      <c r="AA81" s="55">
        <v>1</v>
      </c>
      <c r="AB81" s="55">
        <v>1</v>
      </c>
      <c r="AC81" s="56">
        <v>1</v>
      </c>
      <c r="AE81" s="54">
        <v>0</v>
      </c>
      <c r="AF81" s="55">
        <v>0</v>
      </c>
      <c r="AG81" s="55">
        <v>0.01</v>
      </c>
      <c r="AH81" s="55">
        <v>0.42</v>
      </c>
      <c r="AI81" s="55">
        <v>0.66</v>
      </c>
      <c r="AJ81" s="55">
        <v>0.43</v>
      </c>
      <c r="AK81" s="55">
        <v>0.04</v>
      </c>
      <c r="AL81" s="56">
        <v>0</v>
      </c>
      <c r="AN81" s="54">
        <v>0</v>
      </c>
      <c r="AO81" s="55">
        <v>0</v>
      </c>
      <c r="AP81" s="55">
        <v>0.01</v>
      </c>
      <c r="AQ81" s="55">
        <v>0.42</v>
      </c>
      <c r="AR81" s="55">
        <v>0.66</v>
      </c>
      <c r="AS81" s="55">
        <v>0.43</v>
      </c>
      <c r="AT81" s="55">
        <v>0.04</v>
      </c>
      <c r="AU81" s="56">
        <v>0</v>
      </c>
      <c r="AW81" s="54">
        <v>0</v>
      </c>
      <c r="AX81" s="55">
        <v>0</v>
      </c>
      <c r="AY81" s="55">
        <v>0.05</v>
      </c>
      <c r="AZ81" s="55">
        <v>0.41</v>
      </c>
      <c r="BA81" s="55">
        <v>0.57999999999999996</v>
      </c>
      <c r="BB81" s="55">
        <v>0.41</v>
      </c>
      <c r="BC81" s="55">
        <v>0.11</v>
      </c>
      <c r="BD81" s="56">
        <v>0</v>
      </c>
      <c r="BF81" s="54">
        <v>0</v>
      </c>
      <c r="BG81" s="55">
        <v>0</v>
      </c>
      <c r="BH81" s="55">
        <v>0.05</v>
      </c>
      <c r="BI81" s="55">
        <v>0.41</v>
      </c>
      <c r="BJ81" s="55">
        <v>0.57999999999999996</v>
      </c>
      <c r="BK81" s="55">
        <v>0.41</v>
      </c>
      <c r="BL81" s="55">
        <v>0.11</v>
      </c>
      <c r="BM81" s="56">
        <v>0</v>
      </c>
      <c r="BO81" s="54">
        <v>0</v>
      </c>
      <c r="BP81" s="55">
        <v>0.04</v>
      </c>
      <c r="BQ81" s="55">
        <v>0.23</v>
      </c>
      <c r="BR81" s="55">
        <v>0.43</v>
      </c>
      <c r="BS81" s="55">
        <v>0.53</v>
      </c>
      <c r="BT81" s="55">
        <v>0.52</v>
      </c>
      <c r="BU81" s="55">
        <v>0.31</v>
      </c>
      <c r="BV81" s="56">
        <v>0.09</v>
      </c>
    </row>
    <row r="82" spans="2:74" x14ac:dyDescent="0.2">
      <c r="B82" s="654"/>
      <c r="C82" s="50">
        <v>2</v>
      </c>
      <c r="D82" s="57">
        <v>1</v>
      </c>
      <c r="E82" s="58">
        <v>1</v>
      </c>
      <c r="F82" s="58">
        <v>1</v>
      </c>
      <c r="G82" s="58">
        <v>1</v>
      </c>
      <c r="H82" s="58">
        <v>1</v>
      </c>
      <c r="I82" s="58">
        <v>1</v>
      </c>
      <c r="J82" s="58">
        <v>1</v>
      </c>
      <c r="K82" s="59">
        <v>1</v>
      </c>
      <c r="M82" s="57">
        <v>1</v>
      </c>
      <c r="N82" s="58">
        <v>1</v>
      </c>
      <c r="O82" s="58">
        <v>1</v>
      </c>
      <c r="P82" s="58">
        <v>1</v>
      </c>
      <c r="Q82" s="58">
        <v>1</v>
      </c>
      <c r="R82" s="58">
        <v>1</v>
      </c>
      <c r="S82" s="58">
        <v>1</v>
      </c>
      <c r="T82" s="59">
        <v>1</v>
      </c>
      <c r="V82" s="57">
        <v>1</v>
      </c>
      <c r="W82" s="58">
        <v>1</v>
      </c>
      <c r="X82" s="58">
        <v>1</v>
      </c>
      <c r="Y82" s="58">
        <v>1</v>
      </c>
      <c r="Z82" s="58">
        <v>1</v>
      </c>
      <c r="AA82" s="58">
        <v>1</v>
      </c>
      <c r="AB82" s="58">
        <v>1</v>
      </c>
      <c r="AC82" s="59">
        <v>1</v>
      </c>
      <c r="AE82" s="57">
        <v>0</v>
      </c>
      <c r="AF82" s="58">
        <v>0</v>
      </c>
      <c r="AG82" s="58">
        <v>0</v>
      </c>
      <c r="AH82" s="58">
        <v>0.39</v>
      </c>
      <c r="AI82" s="58">
        <v>0.64</v>
      </c>
      <c r="AJ82" s="58">
        <v>0.39</v>
      </c>
      <c r="AK82" s="58">
        <v>0</v>
      </c>
      <c r="AL82" s="59">
        <v>0</v>
      </c>
      <c r="AN82" s="57">
        <v>0</v>
      </c>
      <c r="AO82" s="58">
        <v>0</v>
      </c>
      <c r="AP82" s="58">
        <v>0</v>
      </c>
      <c r="AQ82" s="58">
        <v>0.39</v>
      </c>
      <c r="AR82" s="58">
        <v>0.64</v>
      </c>
      <c r="AS82" s="58">
        <v>0.39</v>
      </c>
      <c r="AT82" s="58">
        <v>0</v>
      </c>
      <c r="AU82" s="59">
        <v>0</v>
      </c>
      <c r="AW82" s="57">
        <v>0</v>
      </c>
      <c r="AX82" s="58">
        <v>0</v>
      </c>
      <c r="AY82" s="58">
        <v>0.01</v>
      </c>
      <c r="AZ82" s="58">
        <v>0.37</v>
      </c>
      <c r="BA82" s="58">
        <v>0.55000000000000004</v>
      </c>
      <c r="BB82" s="58">
        <v>0.38</v>
      </c>
      <c r="BC82" s="58">
        <v>0.05</v>
      </c>
      <c r="BD82" s="59">
        <v>0</v>
      </c>
      <c r="BF82" s="57">
        <v>0</v>
      </c>
      <c r="BG82" s="58">
        <v>0</v>
      </c>
      <c r="BH82" s="58">
        <v>0.01</v>
      </c>
      <c r="BI82" s="58">
        <v>0.37</v>
      </c>
      <c r="BJ82" s="58">
        <v>0.55000000000000004</v>
      </c>
      <c r="BK82" s="58">
        <v>0.38</v>
      </c>
      <c r="BL82" s="58">
        <v>0.05</v>
      </c>
      <c r="BM82" s="59">
        <v>0</v>
      </c>
      <c r="BO82" s="57">
        <v>0</v>
      </c>
      <c r="BP82" s="58">
        <v>0</v>
      </c>
      <c r="BQ82" s="58">
        <v>0.16</v>
      </c>
      <c r="BR82" s="58">
        <v>0.38</v>
      </c>
      <c r="BS82" s="58">
        <v>0.51</v>
      </c>
      <c r="BT82" s="58">
        <v>0.48</v>
      </c>
      <c r="BU82" s="58">
        <v>0.27</v>
      </c>
      <c r="BV82" s="59">
        <v>0.04</v>
      </c>
    </row>
    <row r="83" spans="2:74" ht="12.75" customHeight="1" x14ac:dyDescent="0.2">
      <c r="B83" s="653" t="s">
        <v>32</v>
      </c>
      <c r="C83" s="43">
        <v>0</v>
      </c>
      <c r="D83" s="51">
        <v>1</v>
      </c>
      <c r="E83" s="52">
        <v>1</v>
      </c>
      <c r="F83" s="52">
        <v>1</v>
      </c>
      <c r="G83" s="52">
        <v>1</v>
      </c>
      <c r="H83" s="52">
        <v>1</v>
      </c>
      <c r="I83" s="52">
        <v>1</v>
      </c>
      <c r="J83" s="52">
        <v>1</v>
      </c>
      <c r="K83" s="53">
        <v>1</v>
      </c>
      <c r="M83" s="51">
        <v>1</v>
      </c>
      <c r="N83" s="52">
        <v>1</v>
      </c>
      <c r="O83" s="52">
        <v>1</v>
      </c>
      <c r="P83" s="52">
        <v>1</v>
      </c>
      <c r="Q83" s="52">
        <v>1</v>
      </c>
      <c r="R83" s="52">
        <v>1</v>
      </c>
      <c r="S83" s="52">
        <v>1</v>
      </c>
      <c r="T83" s="53">
        <v>1</v>
      </c>
      <c r="V83" s="51">
        <v>1</v>
      </c>
      <c r="W83" s="52">
        <v>1</v>
      </c>
      <c r="X83" s="52">
        <v>1</v>
      </c>
      <c r="Y83" s="52">
        <v>1</v>
      </c>
      <c r="Z83" s="52">
        <v>1</v>
      </c>
      <c r="AA83" s="52">
        <v>1</v>
      </c>
      <c r="AB83" s="52">
        <v>1</v>
      </c>
      <c r="AC83" s="53">
        <v>1</v>
      </c>
      <c r="AE83" s="51">
        <v>1</v>
      </c>
      <c r="AF83" s="52">
        <v>1</v>
      </c>
      <c r="AG83" s="52">
        <v>1</v>
      </c>
      <c r="AH83" s="52">
        <v>1</v>
      </c>
      <c r="AI83" s="52">
        <v>1</v>
      </c>
      <c r="AJ83" s="52">
        <v>1</v>
      </c>
      <c r="AK83" s="52">
        <v>1</v>
      </c>
      <c r="AL83" s="53">
        <v>1</v>
      </c>
      <c r="AN83" s="51">
        <v>1</v>
      </c>
      <c r="AO83" s="52">
        <v>1</v>
      </c>
      <c r="AP83" s="52">
        <v>1</v>
      </c>
      <c r="AQ83" s="52">
        <v>1</v>
      </c>
      <c r="AR83" s="52">
        <v>1</v>
      </c>
      <c r="AS83" s="52">
        <v>1</v>
      </c>
      <c r="AT83" s="52">
        <v>1</v>
      </c>
      <c r="AU83" s="53">
        <v>1</v>
      </c>
      <c r="AW83" s="51">
        <v>1</v>
      </c>
      <c r="AX83" s="52">
        <v>1</v>
      </c>
      <c r="AY83" s="52">
        <v>1</v>
      </c>
      <c r="AZ83" s="52">
        <v>1</v>
      </c>
      <c r="BA83" s="52">
        <v>1</v>
      </c>
      <c r="BB83" s="52">
        <v>1</v>
      </c>
      <c r="BC83" s="52">
        <v>1</v>
      </c>
      <c r="BD83" s="53">
        <v>1</v>
      </c>
      <c r="BF83" s="51">
        <v>1</v>
      </c>
      <c r="BG83" s="52">
        <v>1</v>
      </c>
      <c r="BH83" s="52">
        <v>1</v>
      </c>
      <c r="BI83" s="52">
        <v>1</v>
      </c>
      <c r="BJ83" s="52">
        <v>1</v>
      </c>
      <c r="BK83" s="52">
        <v>1</v>
      </c>
      <c r="BL83" s="52">
        <v>1</v>
      </c>
      <c r="BM83" s="53">
        <v>1</v>
      </c>
      <c r="BO83" s="51">
        <v>1</v>
      </c>
      <c r="BP83" s="52">
        <v>1</v>
      </c>
      <c r="BQ83" s="52">
        <v>1</v>
      </c>
      <c r="BR83" s="52">
        <v>1</v>
      </c>
      <c r="BS83" s="52">
        <v>1</v>
      </c>
      <c r="BT83" s="52">
        <v>1</v>
      </c>
      <c r="BU83" s="52">
        <v>1</v>
      </c>
      <c r="BV83" s="53">
        <v>1</v>
      </c>
    </row>
    <row r="84" spans="2:74" ht="12.75" customHeight="1" x14ac:dyDescent="0.2">
      <c r="B84" s="653"/>
      <c r="C84" s="44">
        <v>0.2</v>
      </c>
      <c r="D84" s="54">
        <v>1</v>
      </c>
      <c r="E84" s="55">
        <v>1</v>
      </c>
      <c r="F84" s="55">
        <v>1</v>
      </c>
      <c r="G84" s="55">
        <v>1</v>
      </c>
      <c r="H84" s="55">
        <v>1</v>
      </c>
      <c r="I84" s="55">
        <v>1</v>
      </c>
      <c r="J84" s="55">
        <v>1</v>
      </c>
      <c r="K84" s="56">
        <v>1</v>
      </c>
      <c r="M84" s="54">
        <v>1</v>
      </c>
      <c r="N84" s="55">
        <v>1</v>
      </c>
      <c r="O84" s="55">
        <v>1</v>
      </c>
      <c r="P84" s="55">
        <v>1</v>
      </c>
      <c r="Q84" s="55">
        <v>1</v>
      </c>
      <c r="R84" s="55">
        <v>1</v>
      </c>
      <c r="S84" s="55">
        <v>1</v>
      </c>
      <c r="T84" s="56">
        <v>1</v>
      </c>
      <c r="V84" s="54">
        <v>1</v>
      </c>
      <c r="W84" s="55">
        <v>1</v>
      </c>
      <c r="X84" s="55">
        <v>1</v>
      </c>
      <c r="Y84" s="55">
        <v>1</v>
      </c>
      <c r="Z84" s="55">
        <v>1</v>
      </c>
      <c r="AA84" s="55">
        <v>1</v>
      </c>
      <c r="AB84" s="55">
        <v>1</v>
      </c>
      <c r="AC84" s="56">
        <v>1</v>
      </c>
      <c r="AE84" s="54">
        <v>0.99</v>
      </c>
      <c r="AF84" s="55">
        <v>0.99</v>
      </c>
      <c r="AG84" s="55">
        <v>0.98</v>
      </c>
      <c r="AH84" s="55">
        <v>0.97</v>
      </c>
      <c r="AI84" s="55">
        <v>0.98</v>
      </c>
      <c r="AJ84" s="55">
        <v>0.97</v>
      </c>
      <c r="AK84" s="55">
        <v>0.98</v>
      </c>
      <c r="AL84" s="56">
        <v>0.99</v>
      </c>
      <c r="AN84" s="54">
        <v>0.99</v>
      </c>
      <c r="AO84" s="55">
        <v>0.99</v>
      </c>
      <c r="AP84" s="55">
        <v>0.98</v>
      </c>
      <c r="AQ84" s="55">
        <v>0.97</v>
      </c>
      <c r="AR84" s="55">
        <v>0.98</v>
      </c>
      <c r="AS84" s="55">
        <v>0.97</v>
      </c>
      <c r="AT84" s="55">
        <v>0.98</v>
      </c>
      <c r="AU84" s="56">
        <v>0.99</v>
      </c>
      <c r="AW84" s="54">
        <v>0.99</v>
      </c>
      <c r="AX84" s="55">
        <v>0.99</v>
      </c>
      <c r="AY84" s="55">
        <v>0.98</v>
      </c>
      <c r="AZ84" s="55">
        <v>0.97</v>
      </c>
      <c r="BA84" s="55">
        <v>0.97</v>
      </c>
      <c r="BB84" s="55">
        <v>0.97</v>
      </c>
      <c r="BC84" s="55">
        <v>0.97</v>
      </c>
      <c r="BD84" s="56">
        <v>0.98</v>
      </c>
      <c r="BF84" s="54">
        <v>0.99</v>
      </c>
      <c r="BG84" s="55">
        <v>0.99</v>
      </c>
      <c r="BH84" s="55">
        <v>0.98</v>
      </c>
      <c r="BI84" s="55">
        <v>0.97</v>
      </c>
      <c r="BJ84" s="55">
        <v>0.97</v>
      </c>
      <c r="BK84" s="55">
        <v>0.97</v>
      </c>
      <c r="BL84" s="55">
        <v>0.97</v>
      </c>
      <c r="BM84" s="56">
        <v>0.98</v>
      </c>
      <c r="BO84" s="54">
        <v>0.96</v>
      </c>
      <c r="BP84" s="55">
        <v>0.96</v>
      </c>
      <c r="BQ84" s="55">
        <v>0.95</v>
      </c>
      <c r="BR84" s="55">
        <v>0.95</v>
      </c>
      <c r="BS84" s="55">
        <v>0.96</v>
      </c>
      <c r="BT84" s="55">
        <v>0.95</v>
      </c>
      <c r="BU84" s="55">
        <v>0.96</v>
      </c>
      <c r="BV84" s="56">
        <v>0.96</v>
      </c>
    </row>
    <row r="85" spans="2:74" x14ac:dyDescent="0.2">
      <c r="B85" s="653"/>
      <c r="C85" s="44">
        <v>0.4</v>
      </c>
      <c r="D85" s="54">
        <v>1</v>
      </c>
      <c r="E85" s="55">
        <v>1</v>
      </c>
      <c r="F85" s="55">
        <v>1</v>
      </c>
      <c r="G85" s="55">
        <v>1</v>
      </c>
      <c r="H85" s="55">
        <v>1</v>
      </c>
      <c r="I85" s="55">
        <v>1</v>
      </c>
      <c r="J85" s="55">
        <v>1</v>
      </c>
      <c r="K85" s="56">
        <v>1</v>
      </c>
      <c r="M85" s="54">
        <v>1</v>
      </c>
      <c r="N85" s="55">
        <v>1</v>
      </c>
      <c r="O85" s="55">
        <v>1</v>
      </c>
      <c r="P85" s="55">
        <v>1</v>
      </c>
      <c r="Q85" s="55">
        <v>1</v>
      </c>
      <c r="R85" s="55">
        <v>1</v>
      </c>
      <c r="S85" s="55">
        <v>1</v>
      </c>
      <c r="T85" s="56">
        <v>1</v>
      </c>
      <c r="V85" s="54">
        <v>1</v>
      </c>
      <c r="W85" s="55">
        <v>1</v>
      </c>
      <c r="X85" s="55">
        <v>1</v>
      </c>
      <c r="Y85" s="55">
        <v>1</v>
      </c>
      <c r="Z85" s="55">
        <v>1</v>
      </c>
      <c r="AA85" s="55">
        <v>1</v>
      </c>
      <c r="AB85" s="55">
        <v>1</v>
      </c>
      <c r="AC85" s="56">
        <v>1</v>
      </c>
      <c r="AE85" s="54">
        <v>0.97</v>
      </c>
      <c r="AF85" s="55">
        <v>0.95</v>
      </c>
      <c r="AG85" s="55">
        <v>0.92</v>
      </c>
      <c r="AH85" s="55">
        <v>0.89</v>
      </c>
      <c r="AI85" s="55">
        <v>0.93</v>
      </c>
      <c r="AJ85" s="55">
        <v>0.91</v>
      </c>
      <c r="AK85" s="55">
        <v>0.92</v>
      </c>
      <c r="AL85" s="56">
        <v>0.96</v>
      </c>
      <c r="AN85" s="54">
        <v>0.97</v>
      </c>
      <c r="AO85" s="55">
        <v>0.95</v>
      </c>
      <c r="AP85" s="55">
        <v>0.92</v>
      </c>
      <c r="AQ85" s="55">
        <v>0.89</v>
      </c>
      <c r="AR85" s="55">
        <v>0.93</v>
      </c>
      <c r="AS85" s="55">
        <v>0.91</v>
      </c>
      <c r="AT85" s="55">
        <v>0.92</v>
      </c>
      <c r="AU85" s="56">
        <v>0.96</v>
      </c>
      <c r="AW85" s="54">
        <v>0.96</v>
      </c>
      <c r="AX85" s="55">
        <v>0.94</v>
      </c>
      <c r="AY85" s="55">
        <v>0.91</v>
      </c>
      <c r="AZ85" s="55">
        <v>0.89</v>
      </c>
      <c r="BA85" s="55">
        <v>0.93</v>
      </c>
      <c r="BB85" s="55">
        <v>0.91</v>
      </c>
      <c r="BC85" s="55">
        <v>0.91</v>
      </c>
      <c r="BD85" s="56">
        <v>0.94</v>
      </c>
      <c r="BF85" s="54">
        <v>0.96</v>
      </c>
      <c r="BG85" s="55">
        <v>0.94</v>
      </c>
      <c r="BH85" s="55">
        <v>0.91</v>
      </c>
      <c r="BI85" s="55">
        <v>0.89</v>
      </c>
      <c r="BJ85" s="55">
        <v>0.93</v>
      </c>
      <c r="BK85" s="55">
        <v>0.91</v>
      </c>
      <c r="BL85" s="55">
        <v>0.91</v>
      </c>
      <c r="BM85" s="56">
        <v>0.94</v>
      </c>
      <c r="BO85" s="54">
        <v>0.87</v>
      </c>
      <c r="BP85" s="55">
        <v>0.89</v>
      </c>
      <c r="BQ85" s="55">
        <v>0.87</v>
      </c>
      <c r="BR85" s="55">
        <v>0.91</v>
      </c>
      <c r="BS85" s="55">
        <v>0.9</v>
      </c>
      <c r="BT85" s="55">
        <v>0.87</v>
      </c>
      <c r="BU85" s="55">
        <v>0.89</v>
      </c>
      <c r="BV85" s="56">
        <v>0.88</v>
      </c>
    </row>
    <row r="86" spans="2:74" x14ac:dyDescent="0.2">
      <c r="B86" s="653"/>
      <c r="C86" s="44">
        <v>0.6</v>
      </c>
      <c r="D86" s="54">
        <v>1</v>
      </c>
      <c r="E86" s="55">
        <v>1</v>
      </c>
      <c r="F86" s="55">
        <v>1</v>
      </c>
      <c r="G86" s="55">
        <v>1</v>
      </c>
      <c r="H86" s="55">
        <v>1</v>
      </c>
      <c r="I86" s="55">
        <v>1</v>
      </c>
      <c r="J86" s="55">
        <v>1</v>
      </c>
      <c r="K86" s="56">
        <v>1</v>
      </c>
      <c r="M86" s="54">
        <v>1</v>
      </c>
      <c r="N86" s="55">
        <v>1</v>
      </c>
      <c r="O86" s="55">
        <v>1</v>
      </c>
      <c r="P86" s="55">
        <v>1</v>
      </c>
      <c r="Q86" s="55">
        <v>1</v>
      </c>
      <c r="R86" s="55">
        <v>1</v>
      </c>
      <c r="S86" s="55">
        <v>1</v>
      </c>
      <c r="T86" s="56">
        <v>1</v>
      </c>
      <c r="V86" s="54">
        <v>1</v>
      </c>
      <c r="W86" s="55">
        <v>1</v>
      </c>
      <c r="X86" s="55">
        <v>1</v>
      </c>
      <c r="Y86" s="55">
        <v>1</v>
      </c>
      <c r="Z86" s="55">
        <v>1</v>
      </c>
      <c r="AA86" s="55">
        <v>1</v>
      </c>
      <c r="AB86" s="55">
        <v>1</v>
      </c>
      <c r="AC86" s="56">
        <v>1</v>
      </c>
      <c r="AE86" s="54">
        <v>0.91</v>
      </c>
      <c r="AF86" s="55">
        <v>0.88</v>
      </c>
      <c r="AG86" s="55">
        <v>0.84</v>
      </c>
      <c r="AH86" s="55">
        <v>0.81</v>
      </c>
      <c r="AI86" s="55">
        <v>0.88</v>
      </c>
      <c r="AJ86" s="55">
        <v>0.85</v>
      </c>
      <c r="AK86" s="55">
        <v>0.85</v>
      </c>
      <c r="AL86" s="56">
        <v>0.9</v>
      </c>
      <c r="AN86" s="54">
        <v>0.91</v>
      </c>
      <c r="AO86" s="55">
        <v>0.88</v>
      </c>
      <c r="AP86" s="55">
        <v>0.84</v>
      </c>
      <c r="AQ86" s="55">
        <v>0.81</v>
      </c>
      <c r="AR86" s="55">
        <v>0.88</v>
      </c>
      <c r="AS86" s="55">
        <v>0.85</v>
      </c>
      <c r="AT86" s="55">
        <v>0.85</v>
      </c>
      <c r="AU86" s="56">
        <v>0.9</v>
      </c>
      <c r="AW86" s="54">
        <v>0.88</v>
      </c>
      <c r="AX86" s="55">
        <v>0.87</v>
      </c>
      <c r="AY86" s="55">
        <v>0.83</v>
      </c>
      <c r="AZ86" s="55">
        <v>0.82</v>
      </c>
      <c r="BA86" s="55">
        <v>0.87</v>
      </c>
      <c r="BB86" s="55">
        <v>0.84</v>
      </c>
      <c r="BC86" s="55">
        <v>0.82</v>
      </c>
      <c r="BD86" s="56">
        <v>0.86</v>
      </c>
      <c r="BF86" s="54">
        <v>0.88</v>
      </c>
      <c r="BG86" s="55">
        <v>0.87</v>
      </c>
      <c r="BH86" s="55">
        <v>0.83</v>
      </c>
      <c r="BI86" s="55">
        <v>0.82</v>
      </c>
      <c r="BJ86" s="55">
        <v>0.87</v>
      </c>
      <c r="BK86" s="55">
        <v>0.84</v>
      </c>
      <c r="BL86" s="55">
        <v>0.82</v>
      </c>
      <c r="BM86" s="56">
        <v>0.86</v>
      </c>
      <c r="BO86" s="54">
        <v>0.73</v>
      </c>
      <c r="BP86" s="55">
        <v>0.79</v>
      </c>
      <c r="BQ86" s="55">
        <v>0.78</v>
      </c>
      <c r="BR86" s="55">
        <v>0.87</v>
      </c>
      <c r="BS86" s="55">
        <v>0.85</v>
      </c>
      <c r="BT86" s="55">
        <v>0.81</v>
      </c>
      <c r="BU86" s="55">
        <v>0.81</v>
      </c>
      <c r="BV86" s="56">
        <v>0.78</v>
      </c>
    </row>
    <row r="87" spans="2:74" x14ac:dyDescent="0.2">
      <c r="B87" s="653"/>
      <c r="C87" s="44">
        <v>0.8</v>
      </c>
      <c r="D87" s="54">
        <v>1</v>
      </c>
      <c r="E87" s="55">
        <v>1</v>
      </c>
      <c r="F87" s="55">
        <v>1</v>
      </c>
      <c r="G87" s="55">
        <v>1</v>
      </c>
      <c r="H87" s="55">
        <v>1</v>
      </c>
      <c r="I87" s="55">
        <v>1</v>
      </c>
      <c r="J87" s="55">
        <v>1</v>
      </c>
      <c r="K87" s="56">
        <v>1</v>
      </c>
      <c r="M87" s="54">
        <v>1</v>
      </c>
      <c r="N87" s="55">
        <v>1</v>
      </c>
      <c r="O87" s="55">
        <v>1</v>
      </c>
      <c r="P87" s="55">
        <v>1</v>
      </c>
      <c r="Q87" s="55">
        <v>1</v>
      </c>
      <c r="R87" s="55">
        <v>1</v>
      </c>
      <c r="S87" s="55">
        <v>1</v>
      </c>
      <c r="T87" s="56">
        <v>1</v>
      </c>
      <c r="V87" s="54">
        <v>1</v>
      </c>
      <c r="W87" s="55">
        <v>1</v>
      </c>
      <c r="X87" s="55">
        <v>1</v>
      </c>
      <c r="Y87" s="55">
        <v>1</v>
      </c>
      <c r="Z87" s="55">
        <v>1</v>
      </c>
      <c r="AA87" s="55">
        <v>1</v>
      </c>
      <c r="AB87" s="55">
        <v>1</v>
      </c>
      <c r="AC87" s="56">
        <v>1</v>
      </c>
      <c r="AE87" s="54">
        <v>0.79</v>
      </c>
      <c r="AF87" s="55">
        <v>0.78</v>
      </c>
      <c r="AG87" s="55">
        <v>0.73</v>
      </c>
      <c r="AH87" s="55">
        <v>0.7</v>
      </c>
      <c r="AI87" s="55">
        <v>0.84</v>
      </c>
      <c r="AJ87" s="55">
        <v>0.79</v>
      </c>
      <c r="AK87" s="55">
        <v>0.75</v>
      </c>
      <c r="AL87" s="56">
        <v>0.81</v>
      </c>
      <c r="AN87" s="54">
        <v>0.79</v>
      </c>
      <c r="AO87" s="55">
        <v>0.78</v>
      </c>
      <c r="AP87" s="55">
        <v>0.73</v>
      </c>
      <c r="AQ87" s="55">
        <v>0.7</v>
      </c>
      <c r="AR87" s="55">
        <v>0.84</v>
      </c>
      <c r="AS87" s="55">
        <v>0.79</v>
      </c>
      <c r="AT87" s="55">
        <v>0.75</v>
      </c>
      <c r="AU87" s="56">
        <v>0.81</v>
      </c>
      <c r="AW87" s="54">
        <v>0.75</v>
      </c>
      <c r="AX87" s="55">
        <v>0.78</v>
      </c>
      <c r="AY87" s="55">
        <v>0.73</v>
      </c>
      <c r="AZ87" s="55">
        <v>0.7</v>
      </c>
      <c r="BA87" s="55">
        <v>0.83</v>
      </c>
      <c r="BB87" s="55">
        <v>0.76</v>
      </c>
      <c r="BC87" s="55">
        <v>0.71</v>
      </c>
      <c r="BD87" s="56">
        <v>0.75</v>
      </c>
      <c r="BF87" s="54">
        <v>0.75</v>
      </c>
      <c r="BG87" s="55">
        <v>0.78</v>
      </c>
      <c r="BH87" s="55">
        <v>0.73</v>
      </c>
      <c r="BI87" s="55">
        <v>0.7</v>
      </c>
      <c r="BJ87" s="55">
        <v>0.83</v>
      </c>
      <c r="BK87" s="55">
        <v>0.76</v>
      </c>
      <c r="BL87" s="55">
        <v>0.71</v>
      </c>
      <c r="BM87" s="56">
        <v>0.75</v>
      </c>
      <c r="BO87" s="54">
        <v>0.56999999999999995</v>
      </c>
      <c r="BP87" s="55">
        <v>0.67</v>
      </c>
      <c r="BQ87" s="55">
        <v>0.7</v>
      </c>
      <c r="BR87" s="55">
        <v>0.81</v>
      </c>
      <c r="BS87" s="55">
        <v>0.79</v>
      </c>
      <c r="BT87" s="55">
        <v>0.73</v>
      </c>
      <c r="BU87" s="55">
        <v>0.72</v>
      </c>
      <c r="BV87" s="56">
        <v>0.66</v>
      </c>
    </row>
    <row r="88" spans="2:74" x14ac:dyDescent="0.2">
      <c r="B88" s="653"/>
      <c r="C88" s="44">
        <v>1</v>
      </c>
      <c r="D88" s="54">
        <v>1</v>
      </c>
      <c r="E88" s="55">
        <v>1</v>
      </c>
      <c r="F88" s="55">
        <v>1</v>
      </c>
      <c r="G88" s="55">
        <v>1</v>
      </c>
      <c r="H88" s="55">
        <v>1</v>
      </c>
      <c r="I88" s="55">
        <v>1</v>
      </c>
      <c r="J88" s="55">
        <v>1</v>
      </c>
      <c r="K88" s="56">
        <v>1</v>
      </c>
      <c r="M88" s="54">
        <v>1</v>
      </c>
      <c r="N88" s="55">
        <v>1</v>
      </c>
      <c r="O88" s="55">
        <v>1</v>
      </c>
      <c r="P88" s="55">
        <v>1</v>
      </c>
      <c r="Q88" s="55">
        <v>1</v>
      </c>
      <c r="R88" s="55">
        <v>1</v>
      </c>
      <c r="S88" s="55">
        <v>1</v>
      </c>
      <c r="T88" s="56">
        <v>1</v>
      </c>
      <c r="V88" s="54">
        <v>1</v>
      </c>
      <c r="W88" s="55">
        <v>1</v>
      </c>
      <c r="X88" s="55">
        <v>1</v>
      </c>
      <c r="Y88" s="55">
        <v>1</v>
      </c>
      <c r="Z88" s="55">
        <v>1</v>
      </c>
      <c r="AA88" s="55">
        <v>1</v>
      </c>
      <c r="AB88" s="55">
        <v>1</v>
      </c>
      <c r="AC88" s="56">
        <v>1</v>
      </c>
      <c r="AE88" s="54">
        <v>0.59</v>
      </c>
      <c r="AF88" s="55">
        <v>0.63</v>
      </c>
      <c r="AG88" s="55">
        <v>0.62</v>
      </c>
      <c r="AH88" s="55">
        <v>0.67</v>
      </c>
      <c r="AI88" s="55">
        <v>0.8</v>
      </c>
      <c r="AJ88" s="55">
        <v>0.73</v>
      </c>
      <c r="AK88" s="55">
        <v>0.65</v>
      </c>
      <c r="AL88" s="56">
        <v>0.69</v>
      </c>
      <c r="AN88" s="54">
        <v>0.59</v>
      </c>
      <c r="AO88" s="55">
        <v>0.63</v>
      </c>
      <c r="AP88" s="55">
        <v>0.62</v>
      </c>
      <c r="AQ88" s="55">
        <v>0.67</v>
      </c>
      <c r="AR88" s="55">
        <v>0.8</v>
      </c>
      <c r="AS88" s="55">
        <v>0.73</v>
      </c>
      <c r="AT88" s="55">
        <v>0.65</v>
      </c>
      <c r="AU88" s="56">
        <v>0.69</v>
      </c>
      <c r="AW88" s="54">
        <v>0.56999999999999995</v>
      </c>
      <c r="AX88" s="55">
        <v>0.66</v>
      </c>
      <c r="AY88" s="55">
        <v>0.62</v>
      </c>
      <c r="AZ88" s="55">
        <v>0.68</v>
      </c>
      <c r="BA88" s="55">
        <v>0.78</v>
      </c>
      <c r="BB88" s="55">
        <v>0.69</v>
      </c>
      <c r="BC88" s="55">
        <v>0.61</v>
      </c>
      <c r="BD88" s="56">
        <v>0.6</v>
      </c>
      <c r="BF88" s="54">
        <v>0.56999999999999995</v>
      </c>
      <c r="BG88" s="55">
        <v>0.66</v>
      </c>
      <c r="BH88" s="55">
        <v>0.62</v>
      </c>
      <c r="BI88" s="55">
        <v>0.68</v>
      </c>
      <c r="BJ88" s="55">
        <v>0.78</v>
      </c>
      <c r="BK88" s="55">
        <v>0.69</v>
      </c>
      <c r="BL88" s="55">
        <v>0.61</v>
      </c>
      <c r="BM88" s="56">
        <v>0.6</v>
      </c>
      <c r="BO88" s="54">
        <v>0.42</v>
      </c>
      <c r="BP88" s="55">
        <v>0.56000000000000005</v>
      </c>
      <c r="BQ88" s="55">
        <v>0.64</v>
      </c>
      <c r="BR88" s="55">
        <v>0.79</v>
      </c>
      <c r="BS88" s="55">
        <v>0.75</v>
      </c>
      <c r="BT88" s="55">
        <v>0.69</v>
      </c>
      <c r="BU88" s="55">
        <v>0.63</v>
      </c>
      <c r="BV88" s="56">
        <v>0.54</v>
      </c>
    </row>
    <row r="89" spans="2:74" x14ac:dyDescent="0.2">
      <c r="B89" s="653"/>
      <c r="C89" s="44">
        <v>1.2</v>
      </c>
      <c r="D89" s="54">
        <v>1</v>
      </c>
      <c r="E89" s="55">
        <v>1</v>
      </c>
      <c r="F89" s="55">
        <v>1</v>
      </c>
      <c r="G89" s="55">
        <v>1</v>
      </c>
      <c r="H89" s="55">
        <v>1</v>
      </c>
      <c r="I89" s="55">
        <v>1</v>
      </c>
      <c r="J89" s="55">
        <v>1</v>
      </c>
      <c r="K89" s="56">
        <v>1</v>
      </c>
      <c r="M89" s="54">
        <v>1</v>
      </c>
      <c r="N89" s="55">
        <v>1</v>
      </c>
      <c r="O89" s="55">
        <v>1</v>
      </c>
      <c r="P89" s="55">
        <v>1</v>
      </c>
      <c r="Q89" s="55">
        <v>1</v>
      </c>
      <c r="R89" s="55">
        <v>1</v>
      </c>
      <c r="S89" s="55">
        <v>1</v>
      </c>
      <c r="T89" s="56">
        <v>1</v>
      </c>
      <c r="V89" s="54">
        <v>1</v>
      </c>
      <c r="W89" s="55">
        <v>1</v>
      </c>
      <c r="X89" s="55">
        <v>1</v>
      </c>
      <c r="Y89" s="55">
        <v>1</v>
      </c>
      <c r="Z89" s="55">
        <v>1</v>
      </c>
      <c r="AA89" s="55">
        <v>1</v>
      </c>
      <c r="AB89" s="55">
        <v>1</v>
      </c>
      <c r="AC89" s="56">
        <v>1</v>
      </c>
      <c r="AE89" s="54">
        <v>0.27</v>
      </c>
      <c r="AF89" s="55">
        <v>0.45</v>
      </c>
      <c r="AG89" s="55">
        <v>0.48</v>
      </c>
      <c r="AH89" s="55">
        <v>0.63</v>
      </c>
      <c r="AI89" s="55">
        <v>0.78</v>
      </c>
      <c r="AJ89" s="55">
        <v>0.68</v>
      </c>
      <c r="AK89" s="55">
        <v>0.54</v>
      </c>
      <c r="AL89" s="56">
        <v>0.5</v>
      </c>
      <c r="AN89" s="54">
        <v>0.27</v>
      </c>
      <c r="AO89" s="55">
        <v>0.45</v>
      </c>
      <c r="AP89" s="55">
        <v>0.48</v>
      </c>
      <c r="AQ89" s="55">
        <v>0.63</v>
      </c>
      <c r="AR89" s="55">
        <v>0.78</v>
      </c>
      <c r="AS89" s="55">
        <v>0.68</v>
      </c>
      <c r="AT89" s="55">
        <v>0.54</v>
      </c>
      <c r="AU89" s="56">
        <v>0.5</v>
      </c>
      <c r="AW89" s="54">
        <v>0.33</v>
      </c>
      <c r="AX89" s="55">
        <v>0.51</v>
      </c>
      <c r="AY89" s="55">
        <v>0.51</v>
      </c>
      <c r="AZ89" s="55">
        <v>0.64</v>
      </c>
      <c r="BA89" s="55">
        <v>0.75</v>
      </c>
      <c r="BB89" s="55">
        <v>0.63</v>
      </c>
      <c r="BC89" s="55">
        <v>0.52</v>
      </c>
      <c r="BD89" s="56">
        <v>0.44</v>
      </c>
      <c r="BF89" s="54">
        <v>0.33</v>
      </c>
      <c r="BG89" s="55">
        <v>0.51</v>
      </c>
      <c r="BH89" s="55">
        <v>0.51</v>
      </c>
      <c r="BI89" s="55">
        <v>0.64</v>
      </c>
      <c r="BJ89" s="55">
        <v>0.75</v>
      </c>
      <c r="BK89" s="55">
        <v>0.63</v>
      </c>
      <c r="BL89" s="55">
        <v>0.52</v>
      </c>
      <c r="BM89" s="56">
        <v>0.44</v>
      </c>
      <c r="BO89" s="54">
        <v>0.27</v>
      </c>
      <c r="BP89" s="55">
        <v>0.45</v>
      </c>
      <c r="BQ89" s="55">
        <v>0.59</v>
      </c>
      <c r="BR89" s="55">
        <v>0.74</v>
      </c>
      <c r="BS89" s="55">
        <v>0.71</v>
      </c>
      <c r="BT89" s="55">
        <v>0.66</v>
      </c>
      <c r="BU89" s="55">
        <v>0.55000000000000004</v>
      </c>
      <c r="BV89" s="56">
        <v>0.43</v>
      </c>
    </row>
    <row r="90" spans="2:74" x14ac:dyDescent="0.2">
      <c r="B90" s="653"/>
      <c r="C90" s="44">
        <v>1.4</v>
      </c>
      <c r="D90" s="54">
        <v>1</v>
      </c>
      <c r="E90" s="55">
        <v>1</v>
      </c>
      <c r="F90" s="55">
        <v>1</v>
      </c>
      <c r="G90" s="55">
        <v>1</v>
      </c>
      <c r="H90" s="55">
        <v>1</v>
      </c>
      <c r="I90" s="55">
        <v>1</v>
      </c>
      <c r="J90" s="55">
        <v>1</v>
      </c>
      <c r="K90" s="56">
        <v>1</v>
      </c>
      <c r="M90" s="54">
        <v>1</v>
      </c>
      <c r="N90" s="55">
        <v>1</v>
      </c>
      <c r="O90" s="55">
        <v>1</v>
      </c>
      <c r="P90" s="55">
        <v>1</v>
      </c>
      <c r="Q90" s="55">
        <v>1</v>
      </c>
      <c r="R90" s="55">
        <v>1</v>
      </c>
      <c r="S90" s="55">
        <v>1</v>
      </c>
      <c r="T90" s="56">
        <v>1</v>
      </c>
      <c r="V90" s="54">
        <v>1</v>
      </c>
      <c r="W90" s="55">
        <v>1</v>
      </c>
      <c r="X90" s="55">
        <v>1</v>
      </c>
      <c r="Y90" s="55">
        <v>1</v>
      </c>
      <c r="Z90" s="55">
        <v>1</v>
      </c>
      <c r="AA90" s="55">
        <v>1</v>
      </c>
      <c r="AB90" s="55">
        <v>1</v>
      </c>
      <c r="AC90" s="56">
        <v>1</v>
      </c>
      <c r="AE90" s="54">
        <v>0.03</v>
      </c>
      <c r="AF90" s="55">
        <v>0.28000000000000003</v>
      </c>
      <c r="AG90" s="55">
        <v>0.35</v>
      </c>
      <c r="AH90" s="55">
        <v>0.59</v>
      </c>
      <c r="AI90" s="55">
        <v>0.75</v>
      </c>
      <c r="AJ90" s="55">
        <v>0.63</v>
      </c>
      <c r="AK90" s="55">
        <v>0.44</v>
      </c>
      <c r="AL90" s="56">
        <v>0.31</v>
      </c>
      <c r="AN90" s="54">
        <v>0.03</v>
      </c>
      <c r="AO90" s="55">
        <v>0.28000000000000003</v>
      </c>
      <c r="AP90" s="55">
        <v>0.35</v>
      </c>
      <c r="AQ90" s="55">
        <v>0.59</v>
      </c>
      <c r="AR90" s="55">
        <v>0.75</v>
      </c>
      <c r="AS90" s="55">
        <v>0.63</v>
      </c>
      <c r="AT90" s="55">
        <v>0.44</v>
      </c>
      <c r="AU90" s="56">
        <v>0.31</v>
      </c>
      <c r="AW90" s="54">
        <v>0.14000000000000001</v>
      </c>
      <c r="AX90" s="55">
        <v>0.37</v>
      </c>
      <c r="AY90" s="55">
        <v>0.42</v>
      </c>
      <c r="AZ90" s="55">
        <v>0.6</v>
      </c>
      <c r="BA90" s="55">
        <v>0.72</v>
      </c>
      <c r="BB90" s="55">
        <v>0.59</v>
      </c>
      <c r="BC90" s="55">
        <v>0.44</v>
      </c>
      <c r="BD90" s="56">
        <v>0.3</v>
      </c>
      <c r="BF90" s="54">
        <v>0.14000000000000001</v>
      </c>
      <c r="BG90" s="55">
        <v>0.37</v>
      </c>
      <c r="BH90" s="55">
        <v>0.42</v>
      </c>
      <c r="BI90" s="55">
        <v>0.6</v>
      </c>
      <c r="BJ90" s="55">
        <v>0.72</v>
      </c>
      <c r="BK90" s="55">
        <v>0.59</v>
      </c>
      <c r="BL90" s="55">
        <v>0.44</v>
      </c>
      <c r="BM90" s="56">
        <v>0.3</v>
      </c>
      <c r="BO90" s="54">
        <v>0.17</v>
      </c>
      <c r="BP90" s="55">
        <v>0.32</v>
      </c>
      <c r="BQ90" s="55">
        <v>0.52</v>
      </c>
      <c r="BR90" s="55">
        <v>0.67</v>
      </c>
      <c r="BS90" s="55">
        <v>0.67</v>
      </c>
      <c r="BT90" s="55">
        <v>0.63</v>
      </c>
      <c r="BU90" s="55">
        <v>0.49</v>
      </c>
      <c r="BV90" s="56">
        <v>0.35</v>
      </c>
    </row>
    <row r="91" spans="2:74" x14ac:dyDescent="0.2">
      <c r="B91" s="653"/>
      <c r="C91" s="44">
        <v>1.6</v>
      </c>
      <c r="D91" s="54">
        <v>1</v>
      </c>
      <c r="E91" s="55">
        <v>1</v>
      </c>
      <c r="F91" s="55">
        <v>1</v>
      </c>
      <c r="G91" s="55">
        <v>1</v>
      </c>
      <c r="H91" s="55">
        <v>1</v>
      </c>
      <c r="I91" s="55">
        <v>1</v>
      </c>
      <c r="J91" s="55">
        <v>1</v>
      </c>
      <c r="K91" s="56">
        <v>1</v>
      </c>
      <c r="M91" s="54">
        <v>1</v>
      </c>
      <c r="N91" s="55">
        <v>1</v>
      </c>
      <c r="O91" s="55">
        <v>1</v>
      </c>
      <c r="P91" s="55">
        <v>1</v>
      </c>
      <c r="Q91" s="55">
        <v>1</v>
      </c>
      <c r="R91" s="55">
        <v>1</v>
      </c>
      <c r="S91" s="55">
        <v>1</v>
      </c>
      <c r="T91" s="56">
        <v>1</v>
      </c>
      <c r="V91" s="54">
        <v>1</v>
      </c>
      <c r="W91" s="55">
        <v>1</v>
      </c>
      <c r="X91" s="55">
        <v>1</v>
      </c>
      <c r="Y91" s="55">
        <v>1</v>
      </c>
      <c r="Z91" s="55">
        <v>1</v>
      </c>
      <c r="AA91" s="55">
        <v>1</v>
      </c>
      <c r="AB91" s="55">
        <v>1</v>
      </c>
      <c r="AC91" s="56">
        <v>1</v>
      </c>
      <c r="AE91" s="54">
        <v>0.02</v>
      </c>
      <c r="AF91" s="55">
        <v>0.19</v>
      </c>
      <c r="AG91" s="55">
        <v>0.25</v>
      </c>
      <c r="AH91" s="55">
        <v>0.56000000000000005</v>
      </c>
      <c r="AI91" s="55">
        <v>0.74</v>
      </c>
      <c r="AJ91" s="55">
        <v>0.59</v>
      </c>
      <c r="AK91" s="55">
        <v>0.34</v>
      </c>
      <c r="AL91" s="56">
        <v>0.21</v>
      </c>
      <c r="AN91" s="54">
        <v>0.02</v>
      </c>
      <c r="AO91" s="55">
        <v>0.19</v>
      </c>
      <c r="AP91" s="55">
        <v>0.25</v>
      </c>
      <c r="AQ91" s="55">
        <v>0.56000000000000005</v>
      </c>
      <c r="AR91" s="55">
        <v>0.74</v>
      </c>
      <c r="AS91" s="55">
        <v>0.59</v>
      </c>
      <c r="AT91" s="55">
        <v>0.34</v>
      </c>
      <c r="AU91" s="56">
        <v>0.21</v>
      </c>
      <c r="AW91" s="54">
        <v>0.1</v>
      </c>
      <c r="AX91" s="55">
        <v>0.25</v>
      </c>
      <c r="AY91" s="55">
        <v>0.33</v>
      </c>
      <c r="AZ91" s="55">
        <v>0.56999999999999995</v>
      </c>
      <c r="BA91" s="55">
        <v>0.69</v>
      </c>
      <c r="BB91" s="55">
        <v>0.55000000000000004</v>
      </c>
      <c r="BC91" s="55">
        <v>0.36</v>
      </c>
      <c r="BD91" s="56">
        <v>0.2</v>
      </c>
      <c r="BF91" s="54">
        <v>0.1</v>
      </c>
      <c r="BG91" s="55">
        <v>0.25</v>
      </c>
      <c r="BH91" s="55">
        <v>0.33</v>
      </c>
      <c r="BI91" s="55">
        <v>0.56999999999999995</v>
      </c>
      <c r="BJ91" s="55">
        <v>0.69</v>
      </c>
      <c r="BK91" s="55">
        <v>0.55000000000000004</v>
      </c>
      <c r="BL91" s="55">
        <v>0.36</v>
      </c>
      <c r="BM91" s="56">
        <v>0.2</v>
      </c>
      <c r="BO91" s="54">
        <v>0.1</v>
      </c>
      <c r="BP91" s="55">
        <v>0.22</v>
      </c>
      <c r="BQ91" s="55">
        <v>0.46</v>
      </c>
      <c r="BR91" s="55">
        <v>0.62</v>
      </c>
      <c r="BS91" s="55">
        <v>0.64</v>
      </c>
      <c r="BT91" s="55">
        <v>0.62</v>
      </c>
      <c r="BU91" s="55">
        <v>0.44</v>
      </c>
      <c r="BV91" s="56">
        <v>0.28000000000000003</v>
      </c>
    </row>
    <row r="92" spans="2:74" x14ac:dyDescent="0.2">
      <c r="B92" s="653"/>
      <c r="C92" s="44">
        <v>1.8</v>
      </c>
      <c r="D92" s="54">
        <v>1</v>
      </c>
      <c r="E92" s="55">
        <v>1</v>
      </c>
      <c r="F92" s="55">
        <v>1</v>
      </c>
      <c r="G92" s="55">
        <v>1</v>
      </c>
      <c r="H92" s="55">
        <v>1</v>
      </c>
      <c r="I92" s="55">
        <v>1</v>
      </c>
      <c r="J92" s="55">
        <v>1</v>
      </c>
      <c r="K92" s="56">
        <v>1</v>
      </c>
      <c r="M92" s="54">
        <v>1</v>
      </c>
      <c r="N92" s="55">
        <v>1</v>
      </c>
      <c r="O92" s="55">
        <v>1</v>
      </c>
      <c r="P92" s="55">
        <v>1</v>
      </c>
      <c r="Q92" s="55">
        <v>1</v>
      </c>
      <c r="R92" s="55">
        <v>1</v>
      </c>
      <c r="S92" s="55">
        <v>1</v>
      </c>
      <c r="T92" s="56">
        <v>1</v>
      </c>
      <c r="V92" s="54">
        <v>1</v>
      </c>
      <c r="W92" s="55">
        <v>1</v>
      </c>
      <c r="X92" s="55">
        <v>1</v>
      </c>
      <c r="Y92" s="55">
        <v>1</v>
      </c>
      <c r="Z92" s="55">
        <v>1</v>
      </c>
      <c r="AA92" s="55">
        <v>1</v>
      </c>
      <c r="AB92" s="55">
        <v>1</v>
      </c>
      <c r="AC92" s="56">
        <v>1</v>
      </c>
      <c r="AE92" s="54">
        <v>0.01</v>
      </c>
      <c r="AF92" s="55">
        <v>0.09</v>
      </c>
      <c r="AG92" s="55">
        <v>0.14000000000000001</v>
      </c>
      <c r="AH92" s="55">
        <v>0.52</v>
      </c>
      <c r="AI92" s="55">
        <v>0.72</v>
      </c>
      <c r="AJ92" s="55">
        <v>0.55000000000000004</v>
      </c>
      <c r="AK92" s="55">
        <v>0.25</v>
      </c>
      <c r="AL92" s="56">
        <v>0.1</v>
      </c>
      <c r="AN92" s="54">
        <v>0.01</v>
      </c>
      <c r="AO92" s="55">
        <v>0.09</v>
      </c>
      <c r="AP92" s="55">
        <v>0.14000000000000001</v>
      </c>
      <c r="AQ92" s="55">
        <v>0.52</v>
      </c>
      <c r="AR92" s="55">
        <v>0.72</v>
      </c>
      <c r="AS92" s="55">
        <v>0.55000000000000004</v>
      </c>
      <c r="AT92" s="55">
        <v>0.25</v>
      </c>
      <c r="AU92" s="56">
        <v>0.1</v>
      </c>
      <c r="AW92" s="54">
        <v>0.05</v>
      </c>
      <c r="AX92" s="55">
        <v>0.12</v>
      </c>
      <c r="AY92" s="55">
        <v>0.25</v>
      </c>
      <c r="AZ92" s="55">
        <v>0.53</v>
      </c>
      <c r="BA92" s="55">
        <v>0.67</v>
      </c>
      <c r="BB92" s="55">
        <v>0.51</v>
      </c>
      <c r="BC92" s="55">
        <v>0.28999999999999998</v>
      </c>
      <c r="BD92" s="56">
        <v>0.1</v>
      </c>
      <c r="BF92" s="54">
        <v>0.05</v>
      </c>
      <c r="BG92" s="55">
        <v>0.12</v>
      </c>
      <c r="BH92" s="55">
        <v>0.25</v>
      </c>
      <c r="BI92" s="55">
        <v>0.53</v>
      </c>
      <c r="BJ92" s="55">
        <v>0.67</v>
      </c>
      <c r="BK92" s="55">
        <v>0.51</v>
      </c>
      <c r="BL92" s="55">
        <v>0.28999999999999998</v>
      </c>
      <c r="BM92" s="56">
        <v>0.1</v>
      </c>
      <c r="BO92" s="54">
        <v>0.03</v>
      </c>
      <c r="BP92" s="55">
        <v>0.13</v>
      </c>
      <c r="BQ92" s="55">
        <v>0.39</v>
      </c>
      <c r="BR92" s="55">
        <v>0.56999999999999995</v>
      </c>
      <c r="BS92" s="55">
        <v>0.62</v>
      </c>
      <c r="BT92" s="55">
        <v>0.61</v>
      </c>
      <c r="BU92" s="55">
        <v>0.4</v>
      </c>
      <c r="BV92" s="56">
        <v>0.22</v>
      </c>
    </row>
    <row r="93" spans="2:74" x14ac:dyDescent="0.2">
      <c r="B93" s="654"/>
      <c r="C93" s="45">
        <v>2</v>
      </c>
      <c r="D93" s="57">
        <v>1</v>
      </c>
      <c r="E93" s="58">
        <v>1</v>
      </c>
      <c r="F93" s="58">
        <v>1</v>
      </c>
      <c r="G93" s="58">
        <v>1</v>
      </c>
      <c r="H93" s="58">
        <v>1</v>
      </c>
      <c r="I93" s="58">
        <v>1</v>
      </c>
      <c r="J93" s="58">
        <v>1</v>
      </c>
      <c r="K93" s="59">
        <v>1</v>
      </c>
      <c r="M93" s="57">
        <v>1</v>
      </c>
      <c r="N93" s="58">
        <v>1</v>
      </c>
      <c r="O93" s="58">
        <v>1</v>
      </c>
      <c r="P93" s="58">
        <v>1</v>
      </c>
      <c r="Q93" s="58">
        <v>1</v>
      </c>
      <c r="R93" s="58">
        <v>1</v>
      </c>
      <c r="S93" s="58">
        <v>1</v>
      </c>
      <c r="T93" s="59">
        <v>1</v>
      </c>
      <c r="V93" s="57">
        <v>1</v>
      </c>
      <c r="W93" s="58">
        <v>1</v>
      </c>
      <c r="X93" s="58">
        <v>1</v>
      </c>
      <c r="Y93" s="58">
        <v>1</v>
      </c>
      <c r="Z93" s="58">
        <v>1</v>
      </c>
      <c r="AA93" s="58">
        <v>1</v>
      </c>
      <c r="AB93" s="58">
        <v>1</v>
      </c>
      <c r="AC93" s="59">
        <v>1</v>
      </c>
      <c r="AE93" s="57">
        <v>0</v>
      </c>
      <c r="AF93" s="58">
        <v>0</v>
      </c>
      <c r="AG93" s="58">
        <v>0.03</v>
      </c>
      <c r="AH93" s="58">
        <v>0.49</v>
      </c>
      <c r="AI93" s="58">
        <v>0.7</v>
      </c>
      <c r="AJ93" s="58">
        <v>0.51</v>
      </c>
      <c r="AK93" s="58">
        <v>0.15</v>
      </c>
      <c r="AL93" s="59">
        <v>0</v>
      </c>
      <c r="AN93" s="57">
        <v>0</v>
      </c>
      <c r="AO93" s="58">
        <v>0</v>
      </c>
      <c r="AP93" s="58">
        <v>0.03</v>
      </c>
      <c r="AQ93" s="58">
        <v>0.49</v>
      </c>
      <c r="AR93" s="58">
        <v>0.7</v>
      </c>
      <c r="AS93" s="58">
        <v>0.51</v>
      </c>
      <c r="AT93" s="58">
        <v>0.15</v>
      </c>
      <c r="AU93" s="59">
        <v>0</v>
      </c>
      <c r="AW93" s="57">
        <v>0</v>
      </c>
      <c r="AX93" s="58">
        <v>0</v>
      </c>
      <c r="AY93" s="58">
        <v>0.17</v>
      </c>
      <c r="AZ93" s="58">
        <v>0.5</v>
      </c>
      <c r="BA93" s="58">
        <v>0.64</v>
      </c>
      <c r="BB93" s="58">
        <v>0.48</v>
      </c>
      <c r="BC93" s="58">
        <v>0.21</v>
      </c>
      <c r="BD93" s="59">
        <v>0</v>
      </c>
      <c r="BF93" s="57">
        <v>0</v>
      </c>
      <c r="BG93" s="58">
        <v>0</v>
      </c>
      <c r="BH93" s="58">
        <v>0.17</v>
      </c>
      <c r="BI93" s="58">
        <v>0.5</v>
      </c>
      <c r="BJ93" s="58">
        <v>0.64</v>
      </c>
      <c r="BK93" s="58">
        <v>0.48</v>
      </c>
      <c r="BL93" s="58">
        <v>0.21</v>
      </c>
      <c r="BM93" s="59">
        <v>0</v>
      </c>
      <c r="BO93" s="57">
        <v>0</v>
      </c>
      <c r="BP93" s="58">
        <v>0</v>
      </c>
      <c r="BQ93" s="58">
        <v>0</v>
      </c>
      <c r="BR93" s="58">
        <v>0.1</v>
      </c>
      <c r="BS93" s="58">
        <v>0.5</v>
      </c>
      <c r="BT93" s="58">
        <v>0.5</v>
      </c>
      <c r="BU93" s="58">
        <v>0</v>
      </c>
      <c r="BV93" s="59">
        <v>0</v>
      </c>
    </row>
    <row r="94" spans="2:74" x14ac:dyDescent="0.2">
      <c r="B94" s="653" t="s">
        <v>33</v>
      </c>
      <c r="C94" s="492">
        <v>0</v>
      </c>
      <c r="D94" s="51">
        <v>1</v>
      </c>
      <c r="E94" s="52">
        <v>1</v>
      </c>
      <c r="F94" s="52">
        <v>1</v>
      </c>
      <c r="G94" s="52">
        <v>1</v>
      </c>
      <c r="H94" s="52">
        <v>1</v>
      </c>
      <c r="I94" s="52">
        <v>1</v>
      </c>
      <c r="J94" s="52">
        <v>1</v>
      </c>
      <c r="K94" s="53">
        <v>1</v>
      </c>
      <c r="M94" s="51">
        <v>1</v>
      </c>
      <c r="N94" s="52">
        <v>1</v>
      </c>
      <c r="O94" s="52">
        <v>1</v>
      </c>
      <c r="P94" s="52">
        <v>1</v>
      </c>
      <c r="Q94" s="52">
        <v>1</v>
      </c>
      <c r="R94" s="52">
        <v>1</v>
      </c>
      <c r="S94" s="52">
        <v>1</v>
      </c>
      <c r="T94" s="53">
        <v>1</v>
      </c>
      <c r="V94" s="51">
        <v>1</v>
      </c>
      <c r="W94" s="52">
        <v>1</v>
      </c>
      <c r="X94" s="52">
        <v>1</v>
      </c>
      <c r="Y94" s="52">
        <v>1</v>
      </c>
      <c r="Z94" s="52">
        <v>1</v>
      </c>
      <c r="AA94" s="52">
        <v>1</v>
      </c>
      <c r="AB94" s="52">
        <v>1</v>
      </c>
      <c r="AC94" s="53">
        <v>1</v>
      </c>
      <c r="AE94" s="51">
        <v>1</v>
      </c>
      <c r="AF94" s="52">
        <v>1</v>
      </c>
      <c r="AG94" s="52">
        <v>1</v>
      </c>
      <c r="AH94" s="52">
        <v>1</v>
      </c>
      <c r="AI94" s="52">
        <v>1</v>
      </c>
      <c r="AJ94" s="52">
        <v>1</v>
      </c>
      <c r="AK94" s="52">
        <v>1</v>
      </c>
      <c r="AL94" s="53">
        <v>1</v>
      </c>
      <c r="AN94" s="51">
        <v>1</v>
      </c>
      <c r="AO94" s="52">
        <v>1</v>
      </c>
      <c r="AP94" s="52">
        <v>1</v>
      </c>
      <c r="AQ94" s="52">
        <v>1</v>
      </c>
      <c r="AR94" s="52">
        <v>1</v>
      </c>
      <c r="AS94" s="52">
        <v>1</v>
      </c>
      <c r="AT94" s="52">
        <v>1</v>
      </c>
      <c r="AU94" s="53">
        <v>1</v>
      </c>
      <c r="AW94" s="51">
        <v>1</v>
      </c>
      <c r="AX94" s="52">
        <v>1</v>
      </c>
      <c r="AY94" s="52">
        <v>1</v>
      </c>
      <c r="AZ94" s="52">
        <v>1</v>
      </c>
      <c r="BA94" s="52">
        <v>1</v>
      </c>
      <c r="BB94" s="52">
        <v>1</v>
      </c>
      <c r="BC94" s="52">
        <v>1</v>
      </c>
      <c r="BD94" s="53">
        <v>1</v>
      </c>
      <c r="BF94" s="51">
        <v>1</v>
      </c>
      <c r="BG94" s="52">
        <v>1</v>
      </c>
      <c r="BH94" s="52">
        <v>1</v>
      </c>
      <c r="BI94" s="52">
        <v>1</v>
      </c>
      <c r="BJ94" s="52">
        <v>1</v>
      </c>
      <c r="BK94" s="52">
        <v>1</v>
      </c>
      <c r="BL94" s="52">
        <v>1</v>
      </c>
      <c r="BM94" s="53">
        <v>1</v>
      </c>
      <c r="BO94" s="51">
        <v>1</v>
      </c>
      <c r="BP94" s="52">
        <v>1</v>
      </c>
      <c r="BQ94" s="52">
        <v>1</v>
      </c>
      <c r="BR94" s="52">
        <v>1</v>
      </c>
      <c r="BS94" s="52">
        <v>1</v>
      </c>
      <c r="BT94" s="52">
        <v>1</v>
      </c>
      <c r="BU94" s="52">
        <v>1</v>
      </c>
      <c r="BV94" s="53">
        <v>1</v>
      </c>
    </row>
    <row r="95" spans="2:74" x14ac:dyDescent="0.2">
      <c r="B95" s="653"/>
      <c r="C95" s="492">
        <v>0.2</v>
      </c>
      <c r="D95" s="54">
        <v>1</v>
      </c>
      <c r="E95" s="55">
        <v>1</v>
      </c>
      <c r="F95" s="55">
        <v>1</v>
      </c>
      <c r="G95" s="55">
        <v>1</v>
      </c>
      <c r="H95" s="55">
        <v>1</v>
      </c>
      <c r="I95" s="55">
        <v>1</v>
      </c>
      <c r="J95" s="55">
        <v>1</v>
      </c>
      <c r="K95" s="56">
        <v>1</v>
      </c>
      <c r="M95" s="54">
        <v>1</v>
      </c>
      <c r="N95" s="55">
        <v>1</v>
      </c>
      <c r="O95" s="55">
        <v>1</v>
      </c>
      <c r="P95" s="55">
        <v>1</v>
      </c>
      <c r="Q95" s="55">
        <v>1</v>
      </c>
      <c r="R95" s="55">
        <v>1</v>
      </c>
      <c r="S95" s="55">
        <v>1</v>
      </c>
      <c r="T95" s="56">
        <v>1</v>
      </c>
      <c r="V95" s="54">
        <v>1</v>
      </c>
      <c r="W95" s="55">
        <v>1</v>
      </c>
      <c r="X95" s="55">
        <v>1</v>
      </c>
      <c r="Y95" s="55">
        <v>1</v>
      </c>
      <c r="Z95" s="55">
        <v>1</v>
      </c>
      <c r="AA95" s="55">
        <v>1</v>
      </c>
      <c r="AB95" s="55">
        <v>1</v>
      </c>
      <c r="AC95" s="56">
        <v>1</v>
      </c>
      <c r="AE95" s="54">
        <v>1</v>
      </c>
      <c r="AF95" s="55">
        <v>1</v>
      </c>
      <c r="AG95" s="55">
        <v>0.99</v>
      </c>
      <c r="AH95" s="55">
        <v>0.99</v>
      </c>
      <c r="AI95" s="55">
        <v>0.99</v>
      </c>
      <c r="AJ95" s="55">
        <v>0.99</v>
      </c>
      <c r="AK95" s="55">
        <v>0.99</v>
      </c>
      <c r="AL95" s="56">
        <v>0.99</v>
      </c>
      <c r="AN95" s="54">
        <v>1</v>
      </c>
      <c r="AO95" s="55">
        <v>1</v>
      </c>
      <c r="AP95" s="55">
        <v>0.99</v>
      </c>
      <c r="AQ95" s="55">
        <v>0.99</v>
      </c>
      <c r="AR95" s="55">
        <v>0.99</v>
      </c>
      <c r="AS95" s="55">
        <v>0.99</v>
      </c>
      <c r="AT95" s="55">
        <v>0.99</v>
      </c>
      <c r="AU95" s="56">
        <v>0.99</v>
      </c>
      <c r="AW95" s="54">
        <v>1</v>
      </c>
      <c r="AX95" s="55">
        <v>0.99</v>
      </c>
      <c r="AY95" s="55">
        <v>0.99</v>
      </c>
      <c r="AZ95" s="55">
        <v>0.99</v>
      </c>
      <c r="BA95" s="55">
        <v>0.99</v>
      </c>
      <c r="BB95" s="55">
        <v>0.99</v>
      </c>
      <c r="BC95" s="55">
        <v>0.99</v>
      </c>
      <c r="BD95" s="56">
        <v>0.99</v>
      </c>
      <c r="BF95" s="54">
        <v>1</v>
      </c>
      <c r="BG95" s="55">
        <v>0.99</v>
      </c>
      <c r="BH95" s="55">
        <v>0.99</v>
      </c>
      <c r="BI95" s="55">
        <v>0.99</v>
      </c>
      <c r="BJ95" s="55">
        <v>0.99</v>
      </c>
      <c r="BK95" s="55">
        <v>0.99</v>
      </c>
      <c r="BL95" s="55">
        <v>0.99</v>
      </c>
      <c r="BM95" s="56">
        <v>0.99</v>
      </c>
      <c r="BO95" s="54">
        <v>0.99</v>
      </c>
      <c r="BP95" s="55">
        <v>0.99</v>
      </c>
      <c r="BQ95" s="55">
        <v>0.99</v>
      </c>
      <c r="BR95" s="55">
        <v>0.98</v>
      </c>
      <c r="BS95" s="55">
        <v>0.99</v>
      </c>
      <c r="BT95" s="55">
        <v>0.99</v>
      </c>
      <c r="BU95" s="55">
        <v>0.99</v>
      </c>
      <c r="BV95" s="56">
        <v>0.99</v>
      </c>
    </row>
    <row r="96" spans="2:74" x14ac:dyDescent="0.2">
      <c r="B96" s="653"/>
      <c r="C96" s="492">
        <v>0.4</v>
      </c>
      <c r="D96" s="54">
        <v>1</v>
      </c>
      <c r="E96" s="55">
        <v>1</v>
      </c>
      <c r="F96" s="55">
        <v>1</v>
      </c>
      <c r="G96" s="55">
        <v>1</v>
      </c>
      <c r="H96" s="55">
        <v>1</v>
      </c>
      <c r="I96" s="55">
        <v>1</v>
      </c>
      <c r="J96" s="55">
        <v>1</v>
      </c>
      <c r="K96" s="56">
        <v>1</v>
      </c>
      <c r="M96" s="54">
        <v>1</v>
      </c>
      <c r="N96" s="55">
        <v>1</v>
      </c>
      <c r="O96" s="55">
        <v>1</v>
      </c>
      <c r="P96" s="55">
        <v>1</v>
      </c>
      <c r="Q96" s="55">
        <v>1</v>
      </c>
      <c r="R96" s="55">
        <v>1</v>
      </c>
      <c r="S96" s="55">
        <v>1</v>
      </c>
      <c r="T96" s="56">
        <v>1</v>
      </c>
      <c r="V96" s="54">
        <v>1</v>
      </c>
      <c r="W96" s="55">
        <v>1</v>
      </c>
      <c r="X96" s="55">
        <v>1</v>
      </c>
      <c r="Y96" s="55">
        <v>1</v>
      </c>
      <c r="Z96" s="55">
        <v>1</v>
      </c>
      <c r="AA96" s="55">
        <v>1</v>
      </c>
      <c r="AB96" s="55">
        <v>1</v>
      </c>
      <c r="AC96" s="56">
        <v>1</v>
      </c>
      <c r="AE96" s="54">
        <v>0.99</v>
      </c>
      <c r="AF96" s="55">
        <v>0.98</v>
      </c>
      <c r="AG96" s="55">
        <v>0.97</v>
      </c>
      <c r="AH96" s="55">
        <v>0.97</v>
      </c>
      <c r="AI96" s="55">
        <v>0.97</v>
      </c>
      <c r="AJ96" s="55">
        <v>0.96</v>
      </c>
      <c r="AK96" s="55">
        <v>0.97</v>
      </c>
      <c r="AL96" s="56">
        <v>0.99</v>
      </c>
      <c r="AN96" s="54">
        <v>0.99</v>
      </c>
      <c r="AO96" s="55">
        <v>0.98</v>
      </c>
      <c r="AP96" s="55">
        <v>0.97</v>
      </c>
      <c r="AQ96" s="55">
        <v>0.97</v>
      </c>
      <c r="AR96" s="55">
        <v>0.97</v>
      </c>
      <c r="AS96" s="55">
        <v>0.96</v>
      </c>
      <c r="AT96" s="55">
        <v>0.97</v>
      </c>
      <c r="AU96" s="56">
        <v>0.99</v>
      </c>
      <c r="AW96" s="54">
        <v>0.99</v>
      </c>
      <c r="AX96" s="55">
        <v>0.98</v>
      </c>
      <c r="AY96" s="55">
        <v>0.97</v>
      </c>
      <c r="AZ96" s="55">
        <v>0.96</v>
      </c>
      <c r="BA96" s="55">
        <v>0.97</v>
      </c>
      <c r="BB96" s="55">
        <v>0.96</v>
      </c>
      <c r="BC96" s="55">
        <v>0.96</v>
      </c>
      <c r="BD96" s="56">
        <v>0.98</v>
      </c>
      <c r="BF96" s="54">
        <v>0.99</v>
      </c>
      <c r="BG96" s="55">
        <v>0.98</v>
      </c>
      <c r="BH96" s="55">
        <v>0.97</v>
      </c>
      <c r="BI96" s="55">
        <v>0.96</v>
      </c>
      <c r="BJ96" s="55">
        <v>0.97</v>
      </c>
      <c r="BK96" s="55">
        <v>0.96</v>
      </c>
      <c r="BL96" s="55">
        <v>0.96</v>
      </c>
      <c r="BM96" s="56">
        <v>0.98</v>
      </c>
      <c r="BO96" s="54">
        <v>0.97</v>
      </c>
      <c r="BP96" s="55">
        <v>0.97</v>
      </c>
      <c r="BQ96" s="55">
        <v>0.96</v>
      </c>
      <c r="BR96" s="55">
        <v>0.95</v>
      </c>
      <c r="BS96" s="55">
        <v>0.96</v>
      </c>
      <c r="BT96" s="55">
        <v>0.95</v>
      </c>
      <c r="BU96" s="55">
        <v>0.96</v>
      </c>
      <c r="BV96" s="56">
        <v>0.97</v>
      </c>
    </row>
    <row r="97" spans="2:74" x14ac:dyDescent="0.2">
      <c r="B97" s="653"/>
      <c r="C97" s="492">
        <v>0.6</v>
      </c>
      <c r="D97" s="54">
        <v>1</v>
      </c>
      <c r="E97" s="55">
        <v>1</v>
      </c>
      <c r="F97" s="55">
        <v>1</v>
      </c>
      <c r="G97" s="55">
        <v>1</v>
      </c>
      <c r="H97" s="55">
        <v>1</v>
      </c>
      <c r="I97" s="55">
        <v>1</v>
      </c>
      <c r="J97" s="55">
        <v>1</v>
      </c>
      <c r="K97" s="56">
        <v>1</v>
      </c>
      <c r="M97" s="54">
        <v>1</v>
      </c>
      <c r="N97" s="55">
        <v>1</v>
      </c>
      <c r="O97" s="55">
        <v>1</v>
      </c>
      <c r="P97" s="55">
        <v>1</v>
      </c>
      <c r="Q97" s="55">
        <v>1</v>
      </c>
      <c r="R97" s="55">
        <v>1</v>
      </c>
      <c r="S97" s="55">
        <v>1</v>
      </c>
      <c r="T97" s="56">
        <v>1</v>
      </c>
      <c r="V97" s="54">
        <v>1</v>
      </c>
      <c r="W97" s="55">
        <v>1</v>
      </c>
      <c r="X97" s="55">
        <v>1</v>
      </c>
      <c r="Y97" s="55">
        <v>1</v>
      </c>
      <c r="Z97" s="55">
        <v>1</v>
      </c>
      <c r="AA97" s="55">
        <v>1</v>
      </c>
      <c r="AB97" s="55">
        <v>1</v>
      </c>
      <c r="AC97" s="56">
        <v>1</v>
      </c>
      <c r="AE97" s="54">
        <v>0.98</v>
      </c>
      <c r="AF97" s="55">
        <v>0.97</v>
      </c>
      <c r="AG97" s="55">
        <v>0.94</v>
      </c>
      <c r="AH97" s="55">
        <v>0.92</v>
      </c>
      <c r="AI97" s="55">
        <v>0.95</v>
      </c>
      <c r="AJ97" s="55">
        <v>0.93</v>
      </c>
      <c r="AK97" s="55">
        <v>0.94</v>
      </c>
      <c r="AL97" s="56">
        <v>0.97</v>
      </c>
      <c r="AN97" s="54">
        <v>0.98</v>
      </c>
      <c r="AO97" s="55">
        <v>0.97</v>
      </c>
      <c r="AP97" s="55">
        <v>0.94</v>
      </c>
      <c r="AQ97" s="55">
        <v>0.92</v>
      </c>
      <c r="AR97" s="55">
        <v>0.95</v>
      </c>
      <c r="AS97" s="55">
        <v>0.93</v>
      </c>
      <c r="AT97" s="55">
        <v>0.94</v>
      </c>
      <c r="AU97" s="56">
        <v>0.97</v>
      </c>
      <c r="AW97" s="54">
        <v>0.97</v>
      </c>
      <c r="AX97" s="55">
        <v>0.96</v>
      </c>
      <c r="AY97" s="55">
        <v>0.93</v>
      </c>
      <c r="AZ97" s="55">
        <v>0.92</v>
      </c>
      <c r="BA97" s="55">
        <v>0.94</v>
      </c>
      <c r="BB97" s="55">
        <v>0.92</v>
      </c>
      <c r="BC97" s="55">
        <v>0.92</v>
      </c>
      <c r="BD97" s="56">
        <v>0.96</v>
      </c>
      <c r="BF97" s="54">
        <v>0.97</v>
      </c>
      <c r="BG97" s="55">
        <v>0.96</v>
      </c>
      <c r="BH97" s="55">
        <v>0.93</v>
      </c>
      <c r="BI97" s="55">
        <v>0.92</v>
      </c>
      <c r="BJ97" s="55">
        <v>0.94</v>
      </c>
      <c r="BK97" s="55">
        <v>0.92</v>
      </c>
      <c r="BL97" s="55">
        <v>0.92</v>
      </c>
      <c r="BM97" s="56">
        <v>0.96</v>
      </c>
      <c r="BO97" s="54">
        <v>0.93</v>
      </c>
      <c r="BP97" s="55">
        <v>0.94</v>
      </c>
      <c r="BQ97" s="55">
        <v>0.92</v>
      </c>
      <c r="BR97" s="55">
        <v>0.92</v>
      </c>
      <c r="BS97" s="55">
        <v>0.93</v>
      </c>
      <c r="BT97" s="55">
        <v>0.91</v>
      </c>
      <c r="BU97" s="55">
        <v>0.93</v>
      </c>
      <c r="BV97" s="56">
        <v>0.92</v>
      </c>
    </row>
    <row r="98" spans="2:74" x14ac:dyDescent="0.2">
      <c r="B98" s="653"/>
      <c r="C98" s="492">
        <v>0.8</v>
      </c>
      <c r="D98" s="54">
        <v>1</v>
      </c>
      <c r="E98" s="55">
        <v>1</v>
      </c>
      <c r="F98" s="55">
        <v>1</v>
      </c>
      <c r="G98" s="55">
        <v>1</v>
      </c>
      <c r="H98" s="55">
        <v>1</v>
      </c>
      <c r="I98" s="55">
        <v>1</v>
      </c>
      <c r="J98" s="55">
        <v>1</v>
      </c>
      <c r="K98" s="56">
        <v>1</v>
      </c>
      <c r="M98" s="54">
        <v>1</v>
      </c>
      <c r="N98" s="55">
        <v>1</v>
      </c>
      <c r="O98" s="55">
        <v>1</v>
      </c>
      <c r="P98" s="55">
        <v>1</v>
      </c>
      <c r="Q98" s="55">
        <v>1</v>
      </c>
      <c r="R98" s="55">
        <v>1</v>
      </c>
      <c r="S98" s="55">
        <v>1</v>
      </c>
      <c r="T98" s="56">
        <v>1</v>
      </c>
      <c r="V98" s="54">
        <v>1</v>
      </c>
      <c r="W98" s="55">
        <v>1</v>
      </c>
      <c r="X98" s="55">
        <v>1</v>
      </c>
      <c r="Y98" s="55">
        <v>1</v>
      </c>
      <c r="Z98" s="55">
        <v>1</v>
      </c>
      <c r="AA98" s="55">
        <v>1</v>
      </c>
      <c r="AB98" s="55">
        <v>1</v>
      </c>
      <c r="AC98" s="56">
        <v>1</v>
      </c>
      <c r="AE98" s="54">
        <v>0.95</v>
      </c>
      <c r="AF98" s="55">
        <v>0.94</v>
      </c>
      <c r="AG98" s="55">
        <v>0.9</v>
      </c>
      <c r="AH98" s="55">
        <v>0.88</v>
      </c>
      <c r="AI98" s="55">
        <v>0.92</v>
      </c>
      <c r="AJ98" s="55">
        <v>0.89</v>
      </c>
      <c r="AK98" s="55">
        <v>0.9</v>
      </c>
      <c r="AL98" s="56">
        <v>0.94</v>
      </c>
      <c r="AN98" s="54">
        <v>0.95</v>
      </c>
      <c r="AO98" s="55">
        <v>0.94</v>
      </c>
      <c r="AP98" s="55">
        <v>0.9</v>
      </c>
      <c r="AQ98" s="55">
        <v>0.88</v>
      </c>
      <c r="AR98" s="55">
        <v>0.92</v>
      </c>
      <c r="AS98" s="55">
        <v>0.89</v>
      </c>
      <c r="AT98" s="55">
        <v>0.9</v>
      </c>
      <c r="AU98" s="56">
        <v>0.94</v>
      </c>
      <c r="AW98" s="54">
        <v>0.94</v>
      </c>
      <c r="AX98" s="55">
        <v>0.93</v>
      </c>
      <c r="AY98" s="55">
        <v>0.89</v>
      </c>
      <c r="AZ98" s="55">
        <v>0.87</v>
      </c>
      <c r="BA98" s="55">
        <v>0.91</v>
      </c>
      <c r="BB98" s="55">
        <v>0.88</v>
      </c>
      <c r="BC98" s="55">
        <v>0.87</v>
      </c>
      <c r="BD98" s="56">
        <v>0.92</v>
      </c>
      <c r="BF98" s="54">
        <v>0.94</v>
      </c>
      <c r="BG98" s="55">
        <v>0.93</v>
      </c>
      <c r="BH98" s="55">
        <v>0.89</v>
      </c>
      <c r="BI98" s="55">
        <v>0.87</v>
      </c>
      <c r="BJ98" s="55">
        <v>0.91</v>
      </c>
      <c r="BK98" s="55">
        <v>0.88</v>
      </c>
      <c r="BL98" s="55">
        <v>0.87</v>
      </c>
      <c r="BM98" s="56">
        <v>0.92</v>
      </c>
      <c r="BO98" s="54">
        <v>0.85</v>
      </c>
      <c r="BP98" s="55">
        <v>0.89</v>
      </c>
      <c r="BQ98" s="55">
        <v>0.87</v>
      </c>
      <c r="BR98" s="55">
        <v>0.88</v>
      </c>
      <c r="BS98" s="55">
        <v>0.9</v>
      </c>
      <c r="BT98" s="55">
        <v>0.86</v>
      </c>
      <c r="BU98" s="55">
        <v>0.88</v>
      </c>
      <c r="BV98" s="56">
        <v>0.87</v>
      </c>
    </row>
    <row r="99" spans="2:74" x14ac:dyDescent="0.2">
      <c r="B99" s="653"/>
      <c r="C99" s="492">
        <v>1</v>
      </c>
      <c r="D99" s="54">
        <v>1</v>
      </c>
      <c r="E99" s="55">
        <v>1</v>
      </c>
      <c r="F99" s="55">
        <v>1</v>
      </c>
      <c r="G99" s="55">
        <v>1</v>
      </c>
      <c r="H99" s="55">
        <v>1</v>
      </c>
      <c r="I99" s="55">
        <v>1</v>
      </c>
      <c r="J99" s="55">
        <v>1</v>
      </c>
      <c r="K99" s="56">
        <v>1</v>
      </c>
      <c r="M99" s="54">
        <v>1</v>
      </c>
      <c r="N99" s="55">
        <v>1</v>
      </c>
      <c r="O99" s="55">
        <v>1</v>
      </c>
      <c r="P99" s="55">
        <v>1</v>
      </c>
      <c r="Q99" s="55">
        <v>1</v>
      </c>
      <c r="R99" s="55">
        <v>1</v>
      </c>
      <c r="S99" s="55">
        <v>1</v>
      </c>
      <c r="T99" s="56">
        <v>1</v>
      </c>
      <c r="V99" s="54">
        <v>1</v>
      </c>
      <c r="W99" s="55">
        <v>1</v>
      </c>
      <c r="X99" s="55">
        <v>1</v>
      </c>
      <c r="Y99" s="55">
        <v>1</v>
      </c>
      <c r="Z99" s="55">
        <v>1</v>
      </c>
      <c r="AA99" s="55">
        <v>1</v>
      </c>
      <c r="AB99" s="55">
        <v>1</v>
      </c>
      <c r="AC99" s="56">
        <v>1</v>
      </c>
      <c r="AE99" s="54">
        <v>0.91</v>
      </c>
      <c r="AF99" s="55">
        <v>0.89</v>
      </c>
      <c r="AG99" s="55">
        <v>0.84</v>
      </c>
      <c r="AH99" s="55">
        <v>0.83</v>
      </c>
      <c r="AI99" s="55">
        <v>0.89</v>
      </c>
      <c r="AJ99" s="55">
        <v>0.85</v>
      </c>
      <c r="AK99" s="55">
        <v>0.84</v>
      </c>
      <c r="AL99" s="56">
        <v>0.9</v>
      </c>
      <c r="AN99" s="54">
        <v>0.91</v>
      </c>
      <c r="AO99" s="55">
        <v>0.89</v>
      </c>
      <c r="AP99" s="55">
        <v>0.84</v>
      </c>
      <c r="AQ99" s="55">
        <v>0.83</v>
      </c>
      <c r="AR99" s="55">
        <v>0.89</v>
      </c>
      <c r="AS99" s="55">
        <v>0.85</v>
      </c>
      <c r="AT99" s="55">
        <v>0.84</v>
      </c>
      <c r="AU99" s="56">
        <v>0.9</v>
      </c>
      <c r="AW99" s="54">
        <v>0.88</v>
      </c>
      <c r="AX99" s="55">
        <v>0.88</v>
      </c>
      <c r="AY99" s="55">
        <v>0.83</v>
      </c>
      <c r="AZ99" s="55">
        <v>0.82</v>
      </c>
      <c r="BA99" s="55">
        <v>0.87</v>
      </c>
      <c r="BB99" s="55">
        <v>0.83</v>
      </c>
      <c r="BC99" s="55">
        <v>0.81</v>
      </c>
      <c r="BD99" s="56">
        <v>0.86</v>
      </c>
      <c r="BF99" s="54">
        <v>0.88</v>
      </c>
      <c r="BG99" s="55">
        <v>0.88</v>
      </c>
      <c r="BH99" s="55">
        <v>0.83</v>
      </c>
      <c r="BI99" s="55">
        <v>0.82</v>
      </c>
      <c r="BJ99" s="55">
        <v>0.87</v>
      </c>
      <c r="BK99" s="55">
        <v>0.83</v>
      </c>
      <c r="BL99" s="55">
        <v>0.81</v>
      </c>
      <c r="BM99" s="56">
        <v>0.86</v>
      </c>
      <c r="BO99" s="54">
        <v>0.75</v>
      </c>
      <c r="BP99" s="55">
        <v>0.82</v>
      </c>
      <c r="BQ99" s="55">
        <v>0.79</v>
      </c>
      <c r="BR99" s="55">
        <v>0.86</v>
      </c>
      <c r="BS99" s="55">
        <v>0.86</v>
      </c>
      <c r="BT99" s="55">
        <v>0.82</v>
      </c>
      <c r="BU99" s="55">
        <v>0.83</v>
      </c>
      <c r="BV99" s="56">
        <v>0.8</v>
      </c>
    </row>
    <row r="100" spans="2:74" x14ac:dyDescent="0.2">
      <c r="B100" s="653"/>
      <c r="C100" s="492">
        <v>1.2</v>
      </c>
      <c r="D100" s="54">
        <v>1</v>
      </c>
      <c r="E100" s="55">
        <v>1</v>
      </c>
      <c r="F100" s="55">
        <v>1</v>
      </c>
      <c r="G100" s="55">
        <v>1</v>
      </c>
      <c r="H100" s="55">
        <v>1</v>
      </c>
      <c r="I100" s="55">
        <v>1</v>
      </c>
      <c r="J100" s="55">
        <v>1</v>
      </c>
      <c r="K100" s="56">
        <v>1</v>
      </c>
      <c r="M100" s="54">
        <v>1</v>
      </c>
      <c r="N100" s="55">
        <v>1</v>
      </c>
      <c r="O100" s="55">
        <v>1</v>
      </c>
      <c r="P100" s="55">
        <v>1</v>
      </c>
      <c r="Q100" s="55">
        <v>1</v>
      </c>
      <c r="R100" s="55">
        <v>1</v>
      </c>
      <c r="S100" s="55">
        <v>1</v>
      </c>
      <c r="T100" s="56">
        <v>1</v>
      </c>
      <c r="V100" s="54">
        <v>1</v>
      </c>
      <c r="W100" s="55">
        <v>1</v>
      </c>
      <c r="X100" s="55">
        <v>1</v>
      </c>
      <c r="Y100" s="55">
        <v>1</v>
      </c>
      <c r="Z100" s="55">
        <v>1</v>
      </c>
      <c r="AA100" s="55">
        <v>1</v>
      </c>
      <c r="AB100" s="55">
        <v>1</v>
      </c>
      <c r="AC100" s="56">
        <v>1</v>
      </c>
      <c r="AE100" s="54">
        <v>0.82</v>
      </c>
      <c r="AF100" s="55">
        <v>0.82</v>
      </c>
      <c r="AG100" s="55">
        <v>0.78</v>
      </c>
      <c r="AH100" s="55">
        <v>0.78</v>
      </c>
      <c r="AI100" s="55">
        <v>0.86</v>
      </c>
      <c r="AJ100" s="55">
        <v>0.82</v>
      </c>
      <c r="AK100" s="55">
        <v>0.78</v>
      </c>
      <c r="AL100" s="56">
        <v>0.84</v>
      </c>
      <c r="AN100" s="54">
        <v>0.82</v>
      </c>
      <c r="AO100" s="55">
        <v>0.82</v>
      </c>
      <c r="AP100" s="55">
        <v>0.78</v>
      </c>
      <c r="AQ100" s="55">
        <v>0.78</v>
      </c>
      <c r="AR100" s="55">
        <v>0.86</v>
      </c>
      <c r="AS100" s="55">
        <v>0.82</v>
      </c>
      <c r="AT100" s="55">
        <v>0.78</v>
      </c>
      <c r="AU100" s="56">
        <v>0.84</v>
      </c>
      <c r="AW100" s="54">
        <v>0.79</v>
      </c>
      <c r="AX100" s="55">
        <v>0.82</v>
      </c>
      <c r="AY100" s="55">
        <v>0.77</v>
      </c>
      <c r="AZ100" s="55">
        <v>0.77</v>
      </c>
      <c r="BA100" s="55">
        <v>0.85</v>
      </c>
      <c r="BB100" s="55">
        <v>0.79</v>
      </c>
      <c r="BC100" s="55">
        <v>0.75</v>
      </c>
      <c r="BD100" s="56">
        <v>0.79</v>
      </c>
      <c r="BF100" s="54">
        <v>0.79</v>
      </c>
      <c r="BG100" s="55">
        <v>0.82</v>
      </c>
      <c r="BH100" s="55">
        <v>0.77</v>
      </c>
      <c r="BI100" s="55">
        <v>0.77</v>
      </c>
      <c r="BJ100" s="55">
        <v>0.85</v>
      </c>
      <c r="BK100" s="55">
        <v>0.79</v>
      </c>
      <c r="BL100" s="55">
        <v>0.75</v>
      </c>
      <c r="BM100" s="56">
        <v>0.79</v>
      </c>
      <c r="BO100" s="54">
        <v>0.65</v>
      </c>
      <c r="BP100" s="55">
        <v>0.73</v>
      </c>
      <c r="BQ100" s="55">
        <v>0.74</v>
      </c>
      <c r="BR100" s="55">
        <v>0.86</v>
      </c>
      <c r="BS100" s="55">
        <v>0.82</v>
      </c>
      <c r="BT100" s="55">
        <v>0.78</v>
      </c>
      <c r="BU100" s="55">
        <v>0.77</v>
      </c>
      <c r="BV100" s="56">
        <v>0.72</v>
      </c>
    </row>
    <row r="101" spans="2:74" x14ac:dyDescent="0.2">
      <c r="B101" s="653"/>
      <c r="C101" s="492">
        <v>1.4</v>
      </c>
      <c r="D101" s="54">
        <v>1</v>
      </c>
      <c r="E101" s="55">
        <v>1</v>
      </c>
      <c r="F101" s="55">
        <v>1</v>
      </c>
      <c r="G101" s="55">
        <v>1</v>
      </c>
      <c r="H101" s="55">
        <v>1</v>
      </c>
      <c r="I101" s="55">
        <v>1</v>
      </c>
      <c r="J101" s="55">
        <v>1</v>
      </c>
      <c r="K101" s="56">
        <v>1</v>
      </c>
      <c r="M101" s="54">
        <v>1</v>
      </c>
      <c r="N101" s="55">
        <v>1</v>
      </c>
      <c r="O101" s="55">
        <v>1</v>
      </c>
      <c r="P101" s="55">
        <v>1</v>
      </c>
      <c r="Q101" s="55">
        <v>1</v>
      </c>
      <c r="R101" s="55">
        <v>1</v>
      </c>
      <c r="S101" s="55">
        <v>1</v>
      </c>
      <c r="T101" s="56">
        <v>1</v>
      </c>
      <c r="V101" s="54">
        <v>1</v>
      </c>
      <c r="W101" s="55">
        <v>1</v>
      </c>
      <c r="X101" s="55">
        <v>1</v>
      </c>
      <c r="Y101" s="55">
        <v>1</v>
      </c>
      <c r="Z101" s="55">
        <v>1</v>
      </c>
      <c r="AA101" s="55">
        <v>1</v>
      </c>
      <c r="AB101" s="55">
        <v>1</v>
      </c>
      <c r="AC101" s="56">
        <v>1</v>
      </c>
      <c r="AE101" s="54">
        <v>0.67</v>
      </c>
      <c r="AF101" s="55">
        <v>0.71</v>
      </c>
      <c r="AG101" s="55">
        <v>0.7</v>
      </c>
      <c r="AH101" s="55">
        <v>0.73</v>
      </c>
      <c r="AI101" s="55">
        <v>0.84</v>
      </c>
      <c r="AJ101" s="55">
        <v>0.78</v>
      </c>
      <c r="AK101" s="55">
        <v>0.71</v>
      </c>
      <c r="AL101" s="56">
        <v>0.75</v>
      </c>
      <c r="AN101" s="54">
        <v>0.67</v>
      </c>
      <c r="AO101" s="55">
        <v>0.71</v>
      </c>
      <c r="AP101" s="55">
        <v>0.7</v>
      </c>
      <c r="AQ101" s="55">
        <v>0.73</v>
      </c>
      <c r="AR101" s="55">
        <v>0.84</v>
      </c>
      <c r="AS101" s="55">
        <v>0.78</v>
      </c>
      <c r="AT101" s="55">
        <v>0.71</v>
      </c>
      <c r="AU101" s="56">
        <v>0.75</v>
      </c>
      <c r="AW101" s="54">
        <v>0.66</v>
      </c>
      <c r="AX101" s="55">
        <v>0.73</v>
      </c>
      <c r="AY101" s="55">
        <v>0.69</v>
      </c>
      <c r="AZ101" s="55">
        <v>0.73</v>
      </c>
      <c r="BA101" s="55">
        <v>0.82</v>
      </c>
      <c r="BB101" s="55">
        <v>0.75</v>
      </c>
      <c r="BC101" s="55">
        <v>0.68</v>
      </c>
      <c r="BD101" s="56">
        <v>0.69</v>
      </c>
      <c r="BF101" s="54">
        <v>0.66</v>
      </c>
      <c r="BG101" s="55">
        <v>0.73</v>
      </c>
      <c r="BH101" s="55">
        <v>0.69</v>
      </c>
      <c r="BI101" s="55">
        <v>0.73</v>
      </c>
      <c r="BJ101" s="55">
        <v>0.82</v>
      </c>
      <c r="BK101" s="55">
        <v>0.75</v>
      </c>
      <c r="BL101" s="55">
        <v>0.68</v>
      </c>
      <c r="BM101" s="56">
        <v>0.69</v>
      </c>
      <c r="BO101" s="54">
        <v>0.54</v>
      </c>
      <c r="BP101" s="55">
        <v>0.65</v>
      </c>
      <c r="BQ101" s="55">
        <v>0.69</v>
      </c>
      <c r="BR101" s="55">
        <v>0.85</v>
      </c>
      <c r="BS101" s="55">
        <v>0.79</v>
      </c>
      <c r="BT101" s="55">
        <v>0.73</v>
      </c>
      <c r="BU101" s="55">
        <v>0.71</v>
      </c>
      <c r="BV101" s="56">
        <v>0.64</v>
      </c>
    </row>
    <row r="102" spans="2:74" x14ac:dyDescent="0.2">
      <c r="B102" s="653"/>
      <c r="C102" s="492">
        <v>1.6</v>
      </c>
      <c r="D102" s="54">
        <v>1</v>
      </c>
      <c r="E102" s="55">
        <v>1</v>
      </c>
      <c r="F102" s="55">
        <v>1</v>
      </c>
      <c r="G102" s="55">
        <v>1</v>
      </c>
      <c r="H102" s="55">
        <v>1</v>
      </c>
      <c r="I102" s="55">
        <v>1</v>
      </c>
      <c r="J102" s="55">
        <v>1</v>
      </c>
      <c r="K102" s="56">
        <v>1</v>
      </c>
      <c r="M102" s="54">
        <v>1</v>
      </c>
      <c r="N102" s="55">
        <v>1</v>
      </c>
      <c r="O102" s="55">
        <v>1</v>
      </c>
      <c r="P102" s="55">
        <v>1</v>
      </c>
      <c r="Q102" s="55">
        <v>1</v>
      </c>
      <c r="R102" s="55">
        <v>1</v>
      </c>
      <c r="S102" s="55">
        <v>1</v>
      </c>
      <c r="T102" s="56">
        <v>1</v>
      </c>
      <c r="V102" s="54">
        <v>1</v>
      </c>
      <c r="W102" s="55">
        <v>1</v>
      </c>
      <c r="X102" s="55">
        <v>1</v>
      </c>
      <c r="Y102" s="55">
        <v>1</v>
      </c>
      <c r="Z102" s="55">
        <v>1</v>
      </c>
      <c r="AA102" s="55">
        <v>1</v>
      </c>
      <c r="AB102" s="55">
        <v>1</v>
      </c>
      <c r="AC102" s="56">
        <v>1</v>
      </c>
      <c r="AE102" s="54">
        <v>0.45</v>
      </c>
      <c r="AF102" s="55">
        <v>0.57999999999999996</v>
      </c>
      <c r="AG102" s="55">
        <v>0.6</v>
      </c>
      <c r="AH102" s="55">
        <v>0.7</v>
      </c>
      <c r="AI102" s="55">
        <v>0.81</v>
      </c>
      <c r="AJ102" s="55">
        <v>0.74</v>
      </c>
      <c r="AK102" s="55">
        <v>0.64</v>
      </c>
      <c r="AL102" s="56">
        <v>0.62</v>
      </c>
      <c r="AN102" s="54">
        <v>0.45</v>
      </c>
      <c r="AO102" s="55">
        <v>0.57999999999999996</v>
      </c>
      <c r="AP102" s="55">
        <v>0.6</v>
      </c>
      <c r="AQ102" s="55">
        <v>0.7</v>
      </c>
      <c r="AR102" s="55">
        <v>0.81</v>
      </c>
      <c r="AS102" s="55">
        <v>0.74</v>
      </c>
      <c r="AT102" s="55">
        <v>0.64</v>
      </c>
      <c r="AU102" s="56">
        <v>0.62</v>
      </c>
      <c r="AW102" s="54">
        <v>0.48</v>
      </c>
      <c r="AX102" s="55">
        <v>0.63</v>
      </c>
      <c r="AY102" s="55">
        <v>0.62</v>
      </c>
      <c r="AZ102" s="55">
        <v>0.69</v>
      </c>
      <c r="BA102" s="55">
        <v>0.79</v>
      </c>
      <c r="BB102" s="55">
        <v>0.7</v>
      </c>
      <c r="BC102" s="55">
        <v>0.61</v>
      </c>
      <c r="BD102" s="56">
        <v>0.56999999999999995</v>
      </c>
      <c r="BF102" s="54">
        <v>0.48</v>
      </c>
      <c r="BG102" s="55">
        <v>0.63</v>
      </c>
      <c r="BH102" s="55">
        <v>0.62</v>
      </c>
      <c r="BI102" s="55">
        <v>0.69</v>
      </c>
      <c r="BJ102" s="55">
        <v>0.79</v>
      </c>
      <c r="BK102" s="55">
        <v>0.7</v>
      </c>
      <c r="BL102" s="55">
        <v>0.61</v>
      </c>
      <c r="BM102" s="56">
        <v>0.56999999999999995</v>
      </c>
      <c r="BO102" s="54">
        <v>0.42</v>
      </c>
      <c r="BP102" s="55">
        <v>0.56000000000000005</v>
      </c>
      <c r="BQ102" s="55">
        <v>0.66</v>
      </c>
      <c r="BR102" s="55">
        <v>0.81</v>
      </c>
      <c r="BS102" s="55">
        <v>0.76</v>
      </c>
      <c r="BT102" s="55">
        <v>0.7</v>
      </c>
      <c r="BU102" s="55">
        <v>0.65</v>
      </c>
      <c r="BV102" s="56">
        <v>0.55000000000000004</v>
      </c>
    </row>
    <row r="103" spans="2:74" x14ac:dyDescent="0.2">
      <c r="B103" s="653"/>
      <c r="C103" s="492">
        <v>1.8</v>
      </c>
      <c r="D103" s="54">
        <v>1</v>
      </c>
      <c r="E103" s="55">
        <v>1</v>
      </c>
      <c r="F103" s="55">
        <v>1</v>
      </c>
      <c r="G103" s="55">
        <v>1</v>
      </c>
      <c r="H103" s="55">
        <v>1</v>
      </c>
      <c r="I103" s="55">
        <v>1</v>
      </c>
      <c r="J103" s="55">
        <v>1</v>
      </c>
      <c r="K103" s="56">
        <v>1</v>
      </c>
      <c r="M103" s="54">
        <v>1</v>
      </c>
      <c r="N103" s="55">
        <v>1</v>
      </c>
      <c r="O103" s="55">
        <v>1</v>
      </c>
      <c r="P103" s="55">
        <v>1</v>
      </c>
      <c r="Q103" s="55">
        <v>1</v>
      </c>
      <c r="R103" s="55">
        <v>1</v>
      </c>
      <c r="S103" s="55">
        <v>1</v>
      </c>
      <c r="T103" s="56">
        <v>1</v>
      </c>
      <c r="V103" s="54">
        <v>1</v>
      </c>
      <c r="W103" s="55">
        <v>1</v>
      </c>
      <c r="X103" s="55">
        <v>1</v>
      </c>
      <c r="Y103" s="55">
        <v>1</v>
      </c>
      <c r="Z103" s="55">
        <v>1</v>
      </c>
      <c r="AA103" s="55">
        <v>1</v>
      </c>
      <c r="AB103" s="55">
        <v>1</v>
      </c>
      <c r="AC103" s="56">
        <v>1</v>
      </c>
      <c r="AE103" s="54">
        <v>0.22</v>
      </c>
      <c r="AF103" s="55">
        <v>0.44</v>
      </c>
      <c r="AG103" s="55">
        <v>0.51</v>
      </c>
      <c r="AH103" s="55">
        <v>0.66</v>
      </c>
      <c r="AI103" s="55">
        <v>0.79</v>
      </c>
      <c r="AJ103" s="55">
        <v>0.71</v>
      </c>
      <c r="AK103" s="55">
        <v>0.56000000000000005</v>
      </c>
      <c r="AL103" s="56">
        <v>0.48</v>
      </c>
      <c r="AN103" s="54">
        <v>0.22</v>
      </c>
      <c r="AO103" s="55">
        <v>0.44</v>
      </c>
      <c r="AP103" s="55">
        <v>0.51</v>
      </c>
      <c r="AQ103" s="55">
        <v>0.66</v>
      </c>
      <c r="AR103" s="55">
        <v>0.79</v>
      </c>
      <c r="AS103" s="55">
        <v>0.71</v>
      </c>
      <c r="AT103" s="55">
        <v>0.56000000000000005</v>
      </c>
      <c r="AU103" s="56">
        <v>0.48</v>
      </c>
      <c r="AW103" s="54">
        <v>0.3</v>
      </c>
      <c r="AX103" s="55">
        <v>0.53</v>
      </c>
      <c r="AY103" s="55">
        <v>0.54</v>
      </c>
      <c r="AZ103" s="55">
        <v>0.66</v>
      </c>
      <c r="BA103" s="55">
        <v>0.76</v>
      </c>
      <c r="BB103" s="55">
        <v>0.66</v>
      </c>
      <c r="BC103" s="55">
        <v>0.55000000000000004</v>
      </c>
      <c r="BD103" s="56">
        <v>0.45</v>
      </c>
      <c r="BF103" s="54">
        <v>0.3</v>
      </c>
      <c r="BG103" s="55">
        <v>0.53</v>
      </c>
      <c r="BH103" s="55">
        <v>0.54</v>
      </c>
      <c r="BI103" s="55">
        <v>0.66</v>
      </c>
      <c r="BJ103" s="55">
        <v>0.76</v>
      </c>
      <c r="BK103" s="55">
        <v>0.66</v>
      </c>
      <c r="BL103" s="55">
        <v>0.55000000000000004</v>
      </c>
      <c r="BM103" s="56">
        <v>0.45</v>
      </c>
      <c r="BO103" s="54">
        <v>0.31</v>
      </c>
      <c r="BP103" s="55">
        <v>0.48</v>
      </c>
      <c r="BQ103" s="55">
        <v>0.62</v>
      </c>
      <c r="BR103" s="55">
        <v>0.76</v>
      </c>
      <c r="BS103" s="55">
        <v>0.73</v>
      </c>
      <c r="BT103" s="55">
        <v>0.66</v>
      </c>
      <c r="BU103" s="55">
        <v>0.6</v>
      </c>
      <c r="BV103" s="56">
        <v>0.47</v>
      </c>
    </row>
    <row r="104" spans="2:74" x14ac:dyDescent="0.2">
      <c r="B104" s="654"/>
      <c r="C104" s="492">
        <v>2</v>
      </c>
      <c r="D104" s="57">
        <v>1</v>
      </c>
      <c r="E104" s="58">
        <v>1</v>
      </c>
      <c r="F104" s="58">
        <v>1</v>
      </c>
      <c r="G104" s="58">
        <v>1</v>
      </c>
      <c r="H104" s="58">
        <v>1</v>
      </c>
      <c r="I104" s="58">
        <v>1</v>
      </c>
      <c r="J104" s="58">
        <v>1</v>
      </c>
      <c r="K104" s="59">
        <v>1</v>
      </c>
      <c r="M104" s="57">
        <v>1</v>
      </c>
      <c r="N104" s="58">
        <v>1</v>
      </c>
      <c r="O104" s="58">
        <v>1</v>
      </c>
      <c r="P104" s="58">
        <v>1</v>
      </c>
      <c r="Q104" s="58">
        <v>1</v>
      </c>
      <c r="R104" s="58">
        <v>1</v>
      </c>
      <c r="S104" s="58">
        <v>1</v>
      </c>
      <c r="T104" s="59">
        <v>1</v>
      </c>
      <c r="V104" s="57">
        <v>1</v>
      </c>
      <c r="W104" s="58">
        <v>1</v>
      </c>
      <c r="X104" s="58">
        <v>1</v>
      </c>
      <c r="Y104" s="58">
        <v>1</v>
      </c>
      <c r="Z104" s="58">
        <v>1</v>
      </c>
      <c r="AA104" s="58">
        <v>1</v>
      </c>
      <c r="AB104" s="58">
        <v>1</v>
      </c>
      <c r="AC104" s="59">
        <v>1</v>
      </c>
      <c r="AE104" s="57">
        <v>0</v>
      </c>
      <c r="AF104" s="58">
        <v>0.3</v>
      </c>
      <c r="AG104" s="58">
        <v>0.42</v>
      </c>
      <c r="AH104" s="58">
        <v>0.62</v>
      </c>
      <c r="AI104" s="58">
        <v>0.77</v>
      </c>
      <c r="AJ104" s="58">
        <v>0.67</v>
      </c>
      <c r="AK104" s="58">
        <v>0.49</v>
      </c>
      <c r="AL104" s="59">
        <v>0.35</v>
      </c>
      <c r="AN104" s="57">
        <v>0</v>
      </c>
      <c r="AO104" s="58">
        <v>0.3</v>
      </c>
      <c r="AP104" s="58">
        <v>0.42</v>
      </c>
      <c r="AQ104" s="58">
        <v>0.62</v>
      </c>
      <c r="AR104" s="58">
        <v>0.77</v>
      </c>
      <c r="AS104" s="58">
        <v>0.67</v>
      </c>
      <c r="AT104" s="58">
        <v>0.49</v>
      </c>
      <c r="AU104" s="59">
        <v>0.35</v>
      </c>
      <c r="AW104" s="57">
        <v>0.13</v>
      </c>
      <c r="AX104" s="58">
        <v>0.42</v>
      </c>
      <c r="AY104" s="58">
        <v>0.47</v>
      </c>
      <c r="AZ104" s="58">
        <v>0.63</v>
      </c>
      <c r="BA104" s="58">
        <v>0.74</v>
      </c>
      <c r="BB104" s="58">
        <v>0.62</v>
      </c>
      <c r="BC104" s="58">
        <v>0.48</v>
      </c>
      <c r="BD104" s="59">
        <v>0.33</v>
      </c>
      <c r="BF104" s="57">
        <v>0.13</v>
      </c>
      <c r="BG104" s="58">
        <v>0.42</v>
      </c>
      <c r="BH104" s="58">
        <v>0.47</v>
      </c>
      <c r="BI104" s="58">
        <v>0.63</v>
      </c>
      <c r="BJ104" s="58">
        <v>0.74</v>
      </c>
      <c r="BK104" s="58">
        <v>0.62</v>
      </c>
      <c r="BL104" s="58">
        <v>0.48</v>
      </c>
      <c r="BM104" s="59">
        <v>0.33</v>
      </c>
      <c r="BO104" s="57">
        <v>0.2</v>
      </c>
      <c r="BP104" s="58">
        <v>0.39</v>
      </c>
      <c r="BQ104" s="58">
        <v>0.57999999999999996</v>
      </c>
      <c r="BR104" s="58">
        <v>0.72</v>
      </c>
      <c r="BS104" s="58">
        <v>0.7</v>
      </c>
      <c r="BT104" s="58">
        <v>0.63</v>
      </c>
      <c r="BU104" s="58">
        <v>0.54</v>
      </c>
      <c r="BV104" s="59">
        <v>0.39</v>
      </c>
    </row>
    <row r="105" spans="2:74" ht="12.75" customHeight="1" x14ac:dyDescent="0.2">
      <c r="B105" s="653" t="s">
        <v>375</v>
      </c>
      <c r="C105" s="43">
        <v>0</v>
      </c>
      <c r="D105" s="51">
        <v>1</v>
      </c>
      <c r="E105" s="52">
        <v>1</v>
      </c>
      <c r="F105" s="52">
        <v>1</v>
      </c>
      <c r="G105" s="52">
        <v>1</v>
      </c>
      <c r="H105" s="52">
        <v>1</v>
      </c>
      <c r="I105" s="52">
        <v>1</v>
      </c>
      <c r="J105" s="52">
        <v>1</v>
      </c>
      <c r="K105" s="53">
        <v>1</v>
      </c>
      <c r="M105" s="51">
        <v>1</v>
      </c>
      <c r="N105" s="52">
        <v>1</v>
      </c>
      <c r="O105" s="52">
        <v>1</v>
      </c>
      <c r="P105" s="52">
        <v>1</v>
      </c>
      <c r="Q105" s="52">
        <v>1</v>
      </c>
      <c r="R105" s="52">
        <v>1</v>
      </c>
      <c r="S105" s="52">
        <v>1</v>
      </c>
      <c r="T105" s="53">
        <v>1</v>
      </c>
      <c r="V105" s="51">
        <v>1</v>
      </c>
      <c r="W105" s="52">
        <v>1</v>
      </c>
      <c r="X105" s="52">
        <v>1</v>
      </c>
      <c r="Y105" s="52">
        <v>1</v>
      </c>
      <c r="Z105" s="52">
        <v>1</v>
      </c>
      <c r="AA105" s="52">
        <v>1</v>
      </c>
      <c r="AB105" s="52">
        <v>1</v>
      </c>
      <c r="AC105" s="53">
        <v>1</v>
      </c>
      <c r="AE105" s="51">
        <v>1</v>
      </c>
      <c r="AF105" s="52">
        <v>1</v>
      </c>
      <c r="AG105" s="52">
        <v>1</v>
      </c>
      <c r="AH105" s="52">
        <v>1</v>
      </c>
      <c r="AI105" s="52">
        <v>1</v>
      </c>
      <c r="AJ105" s="52">
        <v>1</v>
      </c>
      <c r="AK105" s="52">
        <v>1</v>
      </c>
      <c r="AL105" s="53">
        <v>1</v>
      </c>
      <c r="AN105" s="51">
        <v>1</v>
      </c>
      <c r="AO105" s="52">
        <v>1</v>
      </c>
      <c r="AP105" s="52">
        <v>1</v>
      </c>
      <c r="AQ105" s="52">
        <v>1</v>
      </c>
      <c r="AR105" s="52">
        <v>1</v>
      </c>
      <c r="AS105" s="52">
        <v>1</v>
      </c>
      <c r="AT105" s="52">
        <v>1</v>
      </c>
      <c r="AU105" s="53">
        <v>1</v>
      </c>
      <c r="AW105" s="51">
        <v>1</v>
      </c>
      <c r="AX105" s="52">
        <v>1</v>
      </c>
      <c r="AY105" s="52">
        <v>1</v>
      </c>
      <c r="AZ105" s="52">
        <v>1</v>
      </c>
      <c r="BA105" s="52">
        <v>1</v>
      </c>
      <c r="BB105" s="52">
        <v>1</v>
      </c>
      <c r="BC105" s="52">
        <v>1</v>
      </c>
      <c r="BD105" s="53">
        <v>1</v>
      </c>
      <c r="BF105" s="51">
        <v>1</v>
      </c>
      <c r="BG105" s="52">
        <v>1</v>
      </c>
      <c r="BH105" s="52">
        <v>1</v>
      </c>
      <c r="BI105" s="52">
        <v>1</v>
      </c>
      <c r="BJ105" s="52">
        <v>1</v>
      </c>
      <c r="BK105" s="52">
        <v>1</v>
      </c>
      <c r="BL105" s="52">
        <v>1</v>
      </c>
      <c r="BM105" s="53">
        <v>1</v>
      </c>
      <c r="BO105" s="51">
        <v>1</v>
      </c>
      <c r="BP105" s="52">
        <v>1</v>
      </c>
      <c r="BQ105" s="52">
        <v>1</v>
      </c>
      <c r="BR105" s="52">
        <v>1</v>
      </c>
      <c r="BS105" s="52">
        <v>1</v>
      </c>
      <c r="BT105" s="52">
        <v>1</v>
      </c>
      <c r="BU105" s="52">
        <v>1</v>
      </c>
      <c r="BV105" s="53">
        <v>1</v>
      </c>
    </row>
    <row r="106" spans="2:74" ht="12.75" customHeight="1" x14ac:dyDescent="0.2">
      <c r="B106" s="653"/>
      <c r="C106" s="44">
        <v>0.2</v>
      </c>
      <c r="D106" s="54">
        <v>1</v>
      </c>
      <c r="E106" s="55">
        <v>1</v>
      </c>
      <c r="F106" s="55">
        <v>1</v>
      </c>
      <c r="G106" s="55">
        <v>1</v>
      </c>
      <c r="H106" s="55">
        <v>1</v>
      </c>
      <c r="I106" s="55">
        <v>1</v>
      </c>
      <c r="J106" s="55">
        <v>1</v>
      </c>
      <c r="K106" s="56">
        <v>1</v>
      </c>
      <c r="M106" s="54">
        <v>1</v>
      </c>
      <c r="N106" s="55">
        <v>1</v>
      </c>
      <c r="O106" s="55">
        <v>1</v>
      </c>
      <c r="P106" s="55">
        <v>1</v>
      </c>
      <c r="Q106" s="55">
        <v>1</v>
      </c>
      <c r="R106" s="55">
        <v>1</v>
      </c>
      <c r="S106" s="55">
        <v>1</v>
      </c>
      <c r="T106" s="56">
        <v>1</v>
      </c>
      <c r="V106" s="54">
        <v>1</v>
      </c>
      <c r="W106" s="55">
        <v>1</v>
      </c>
      <c r="X106" s="55">
        <v>1</v>
      </c>
      <c r="Y106" s="55">
        <v>1</v>
      </c>
      <c r="Z106" s="55">
        <v>1</v>
      </c>
      <c r="AA106" s="55">
        <v>1</v>
      </c>
      <c r="AB106" s="55">
        <v>1</v>
      </c>
      <c r="AC106" s="56">
        <v>1</v>
      </c>
      <c r="AE106" s="54">
        <v>1</v>
      </c>
      <c r="AF106" s="55">
        <v>1</v>
      </c>
      <c r="AG106" s="55">
        <v>1</v>
      </c>
      <c r="AH106" s="55">
        <v>1</v>
      </c>
      <c r="AI106" s="55">
        <v>1</v>
      </c>
      <c r="AJ106" s="55">
        <v>1</v>
      </c>
      <c r="AK106" s="55">
        <v>1</v>
      </c>
      <c r="AL106" s="56">
        <v>1</v>
      </c>
      <c r="AN106" s="54">
        <v>1</v>
      </c>
      <c r="AO106" s="55">
        <v>1</v>
      </c>
      <c r="AP106" s="55">
        <v>1</v>
      </c>
      <c r="AQ106" s="55">
        <v>1</v>
      </c>
      <c r="AR106" s="55">
        <v>1</v>
      </c>
      <c r="AS106" s="55">
        <v>1</v>
      </c>
      <c r="AT106" s="55">
        <v>1</v>
      </c>
      <c r="AU106" s="56">
        <v>1</v>
      </c>
      <c r="AW106" s="54">
        <v>1</v>
      </c>
      <c r="AX106" s="55">
        <v>1</v>
      </c>
      <c r="AY106" s="55">
        <v>1</v>
      </c>
      <c r="AZ106" s="55">
        <v>1</v>
      </c>
      <c r="BA106" s="55">
        <v>1</v>
      </c>
      <c r="BB106" s="55">
        <v>0.99</v>
      </c>
      <c r="BC106" s="55">
        <v>0.99</v>
      </c>
      <c r="BD106" s="56">
        <v>1</v>
      </c>
      <c r="BF106" s="54">
        <v>1</v>
      </c>
      <c r="BG106" s="55">
        <v>1</v>
      </c>
      <c r="BH106" s="55">
        <v>1</v>
      </c>
      <c r="BI106" s="55">
        <v>1</v>
      </c>
      <c r="BJ106" s="55">
        <v>1</v>
      </c>
      <c r="BK106" s="55">
        <v>0.99</v>
      </c>
      <c r="BL106" s="55">
        <v>0.99</v>
      </c>
      <c r="BM106" s="56">
        <v>1</v>
      </c>
      <c r="BO106" s="54">
        <v>1</v>
      </c>
      <c r="BP106" s="55">
        <v>1</v>
      </c>
      <c r="BQ106" s="55">
        <v>0.99</v>
      </c>
      <c r="BR106" s="55">
        <v>0.99</v>
      </c>
      <c r="BS106" s="55">
        <v>1</v>
      </c>
      <c r="BT106" s="55">
        <v>0.99</v>
      </c>
      <c r="BU106" s="55">
        <v>0.99</v>
      </c>
      <c r="BV106" s="56">
        <v>0.99</v>
      </c>
    </row>
    <row r="107" spans="2:74" x14ac:dyDescent="0.2">
      <c r="B107" s="653"/>
      <c r="C107" s="44">
        <v>0.4</v>
      </c>
      <c r="D107" s="54">
        <v>1</v>
      </c>
      <c r="E107" s="55">
        <v>1</v>
      </c>
      <c r="F107" s="55">
        <v>1</v>
      </c>
      <c r="G107" s="55">
        <v>1</v>
      </c>
      <c r="H107" s="55">
        <v>1</v>
      </c>
      <c r="I107" s="55">
        <v>1</v>
      </c>
      <c r="J107" s="55">
        <v>1</v>
      </c>
      <c r="K107" s="56">
        <v>1</v>
      </c>
      <c r="M107" s="54">
        <v>1</v>
      </c>
      <c r="N107" s="55">
        <v>1</v>
      </c>
      <c r="O107" s="55">
        <v>1</v>
      </c>
      <c r="P107" s="55">
        <v>1</v>
      </c>
      <c r="Q107" s="55">
        <v>1</v>
      </c>
      <c r="R107" s="55">
        <v>1</v>
      </c>
      <c r="S107" s="55">
        <v>1</v>
      </c>
      <c r="T107" s="56">
        <v>1</v>
      </c>
      <c r="V107" s="54">
        <v>1</v>
      </c>
      <c r="W107" s="55">
        <v>1</v>
      </c>
      <c r="X107" s="55">
        <v>1</v>
      </c>
      <c r="Y107" s="55">
        <v>1</v>
      </c>
      <c r="Z107" s="55">
        <v>1</v>
      </c>
      <c r="AA107" s="55">
        <v>1</v>
      </c>
      <c r="AB107" s="55">
        <v>1</v>
      </c>
      <c r="AC107" s="56">
        <v>1</v>
      </c>
      <c r="AE107" s="54">
        <v>1</v>
      </c>
      <c r="AF107" s="55">
        <v>0.99</v>
      </c>
      <c r="AG107" s="55">
        <v>0.99</v>
      </c>
      <c r="AH107" s="55">
        <v>0.98</v>
      </c>
      <c r="AI107" s="55">
        <v>0.99</v>
      </c>
      <c r="AJ107" s="55">
        <v>0.98</v>
      </c>
      <c r="AK107" s="55">
        <v>0.98</v>
      </c>
      <c r="AL107" s="56">
        <v>0.99</v>
      </c>
      <c r="AN107" s="54">
        <v>1</v>
      </c>
      <c r="AO107" s="55">
        <v>0.99</v>
      </c>
      <c r="AP107" s="55">
        <v>0.99</v>
      </c>
      <c r="AQ107" s="55">
        <v>0.98</v>
      </c>
      <c r="AR107" s="55">
        <v>0.99</v>
      </c>
      <c r="AS107" s="55">
        <v>0.98</v>
      </c>
      <c r="AT107" s="55">
        <v>0.98</v>
      </c>
      <c r="AU107" s="56">
        <v>0.99</v>
      </c>
      <c r="AW107" s="54">
        <v>0.99</v>
      </c>
      <c r="AX107" s="55">
        <v>0.99</v>
      </c>
      <c r="AY107" s="55">
        <v>0.98</v>
      </c>
      <c r="AZ107" s="55">
        <v>0.98</v>
      </c>
      <c r="BA107" s="55">
        <v>0.98</v>
      </c>
      <c r="BB107" s="55">
        <v>0.98</v>
      </c>
      <c r="BC107" s="55">
        <v>0.98</v>
      </c>
      <c r="BD107" s="56">
        <v>0.99</v>
      </c>
      <c r="BF107" s="54">
        <v>0.99</v>
      </c>
      <c r="BG107" s="55">
        <v>0.99</v>
      </c>
      <c r="BH107" s="55">
        <v>0.98</v>
      </c>
      <c r="BI107" s="55">
        <v>0.98</v>
      </c>
      <c r="BJ107" s="55">
        <v>0.98</v>
      </c>
      <c r="BK107" s="55">
        <v>0.98</v>
      </c>
      <c r="BL107" s="55">
        <v>0.98</v>
      </c>
      <c r="BM107" s="56">
        <v>0.99</v>
      </c>
      <c r="BO107" s="54">
        <v>0.98</v>
      </c>
      <c r="BP107" s="55">
        <v>0.98</v>
      </c>
      <c r="BQ107" s="55">
        <v>0.98</v>
      </c>
      <c r="BR107" s="55">
        <v>0.98</v>
      </c>
      <c r="BS107" s="55">
        <v>0.98</v>
      </c>
      <c r="BT107" s="55">
        <v>0.98</v>
      </c>
      <c r="BU107" s="55">
        <v>0.98</v>
      </c>
      <c r="BV107" s="56">
        <v>0.98</v>
      </c>
    </row>
    <row r="108" spans="2:74" x14ac:dyDescent="0.2">
      <c r="B108" s="653"/>
      <c r="C108" s="44">
        <v>0.6</v>
      </c>
      <c r="D108" s="54">
        <v>1</v>
      </c>
      <c r="E108" s="55">
        <v>1</v>
      </c>
      <c r="F108" s="55">
        <v>1</v>
      </c>
      <c r="G108" s="55">
        <v>1</v>
      </c>
      <c r="H108" s="55">
        <v>1</v>
      </c>
      <c r="I108" s="55">
        <v>1</v>
      </c>
      <c r="J108" s="55">
        <v>1</v>
      </c>
      <c r="K108" s="56">
        <v>1</v>
      </c>
      <c r="M108" s="54">
        <v>1</v>
      </c>
      <c r="N108" s="55">
        <v>1</v>
      </c>
      <c r="O108" s="55">
        <v>1</v>
      </c>
      <c r="P108" s="55">
        <v>1</v>
      </c>
      <c r="Q108" s="55">
        <v>1</v>
      </c>
      <c r="R108" s="55">
        <v>1</v>
      </c>
      <c r="S108" s="55">
        <v>1</v>
      </c>
      <c r="T108" s="56">
        <v>1</v>
      </c>
      <c r="V108" s="54">
        <v>1</v>
      </c>
      <c r="W108" s="55">
        <v>1</v>
      </c>
      <c r="X108" s="55">
        <v>1</v>
      </c>
      <c r="Y108" s="55">
        <v>1</v>
      </c>
      <c r="Z108" s="55">
        <v>1</v>
      </c>
      <c r="AA108" s="55">
        <v>1</v>
      </c>
      <c r="AB108" s="55">
        <v>1</v>
      </c>
      <c r="AC108" s="56">
        <v>1</v>
      </c>
      <c r="AE108" s="54">
        <v>0.99</v>
      </c>
      <c r="AF108" s="55">
        <v>0.98</v>
      </c>
      <c r="AG108" s="55">
        <v>0.97</v>
      </c>
      <c r="AH108" s="55">
        <v>0.96</v>
      </c>
      <c r="AI108" s="55">
        <v>0.97</v>
      </c>
      <c r="AJ108" s="55">
        <v>0.96</v>
      </c>
      <c r="AK108" s="55">
        <v>0.97</v>
      </c>
      <c r="AL108" s="56">
        <v>0.98</v>
      </c>
      <c r="AN108" s="54">
        <v>0.99</v>
      </c>
      <c r="AO108" s="55">
        <v>0.98</v>
      </c>
      <c r="AP108" s="55">
        <v>0.97</v>
      </c>
      <c r="AQ108" s="55">
        <v>0.96</v>
      </c>
      <c r="AR108" s="55">
        <v>0.97</v>
      </c>
      <c r="AS108" s="55">
        <v>0.96</v>
      </c>
      <c r="AT108" s="55">
        <v>0.97</v>
      </c>
      <c r="AU108" s="56">
        <v>0.98</v>
      </c>
      <c r="AW108" s="54">
        <v>0.99</v>
      </c>
      <c r="AX108" s="55">
        <v>0.98</v>
      </c>
      <c r="AY108" s="55">
        <v>0.97</v>
      </c>
      <c r="AZ108" s="55">
        <v>0.96</v>
      </c>
      <c r="BA108" s="55">
        <v>0.96</v>
      </c>
      <c r="BB108" s="55">
        <v>0.95</v>
      </c>
      <c r="BC108" s="55">
        <v>0.96</v>
      </c>
      <c r="BD108" s="56">
        <v>0.98</v>
      </c>
      <c r="BF108" s="54">
        <v>0.99</v>
      </c>
      <c r="BG108" s="55">
        <v>0.98</v>
      </c>
      <c r="BH108" s="55">
        <v>0.97</v>
      </c>
      <c r="BI108" s="55">
        <v>0.96</v>
      </c>
      <c r="BJ108" s="55">
        <v>0.96</v>
      </c>
      <c r="BK108" s="55">
        <v>0.95</v>
      </c>
      <c r="BL108" s="55">
        <v>0.96</v>
      </c>
      <c r="BM108" s="56">
        <v>0.98</v>
      </c>
      <c r="BO108" s="54">
        <v>0.96</v>
      </c>
      <c r="BP108" s="55">
        <v>0.97</v>
      </c>
      <c r="BQ108" s="55">
        <v>0.96</v>
      </c>
      <c r="BR108" s="55">
        <v>0.96</v>
      </c>
      <c r="BS108" s="55">
        <v>0.96</v>
      </c>
      <c r="BT108" s="55">
        <v>0.95</v>
      </c>
      <c r="BU108" s="55">
        <v>0.96</v>
      </c>
      <c r="BV108" s="56">
        <v>0.96</v>
      </c>
    </row>
    <row r="109" spans="2:74" x14ac:dyDescent="0.2">
      <c r="B109" s="653"/>
      <c r="C109" s="44">
        <v>0.8</v>
      </c>
      <c r="D109" s="54">
        <v>1</v>
      </c>
      <c r="E109" s="55">
        <v>1</v>
      </c>
      <c r="F109" s="55">
        <v>1</v>
      </c>
      <c r="G109" s="55">
        <v>1</v>
      </c>
      <c r="H109" s="55">
        <v>1</v>
      </c>
      <c r="I109" s="55">
        <v>1</v>
      </c>
      <c r="J109" s="55">
        <v>1</v>
      </c>
      <c r="K109" s="56">
        <v>1</v>
      </c>
      <c r="M109" s="54">
        <v>1</v>
      </c>
      <c r="N109" s="55">
        <v>1</v>
      </c>
      <c r="O109" s="55">
        <v>1</v>
      </c>
      <c r="P109" s="55">
        <v>1</v>
      </c>
      <c r="Q109" s="55">
        <v>1</v>
      </c>
      <c r="R109" s="55">
        <v>1</v>
      </c>
      <c r="S109" s="55">
        <v>1</v>
      </c>
      <c r="T109" s="56">
        <v>1</v>
      </c>
      <c r="V109" s="54">
        <v>1</v>
      </c>
      <c r="W109" s="55">
        <v>1</v>
      </c>
      <c r="X109" s="55">
        <v>1</v>
      </c>
      <c r="Y109" s="55">
        <v>1</v>
      </c>
      <c r="Z109" s="55">
        <v>1</v>
      </c>
      <c r="AA109" s="55">
        <v>1</v>
      </c>
      <c r="AB109" s="55">
        <v>1</v>
      </c>
      <c r="AC109" s="56">
        <v>1</v>
      </c>
      <c r="AE109" s="54">
        <v>0.98</v>
      </c>
      <c r="AF109" s="55">
        <v>0.97</v>
      </c>
      <c r="AG109" s="55">
        <v>0.95</v>
      </c>
      <c r="AH109" s="55">
        <v>0.93</v>
      </c>
      <c r="AI109" s="55">
        <v>0.95</v>
      </c>
      <c r="AJ109" s="55">
        <v>0.93</v>
      </c>
      <c r="AK109" s="55">
        <v>0.94</v>
      </c>
      <c r="AL109" s="56">
        <v>0.97</v>
      </c>
      <c r="AN109" s="54">
        <v>0.98</v>
      </c>
      <c r="AO109" s="55">
        <v>0.97</v>
      </c>
      <c r="AP109" s="55">
        <v>0.95</v>
      </c>
      <c r="AQ109" s="55">
        <v>0.93</v>
      </c>
      <c r="AR109" s="55">
        <v>0.95</v>
      </c>
      <c r="AS109" s="55">
        <v>0.93</v>
      </c>
      <c r="AT109" s="55">
        <v>0.94</v>
      </c>
      <c r="AU109" s="56">
        <v>0.97</v>
      </c>
      <c r="AW109" s="54">
        <v>0.98</v>
      </c>
      <c r="AX109" s="55">
        <v>0.96</v>
      </c>
      <c r="AY109" s="55">
        <v>0.94</v>
      </c>
      <c r="AZ109" s="55">
        <v>0.93</v>
      </c>
      <c r="BA109" s="55">
        <v>0.94</v>
      </c>
      <c r="BB109" s="55">
        <v>0.93</v>
      </c>
      <c r="BC109" s="55">
        <v>0.93</v>
      </c>
      <c r="BD109" s="56">
        <v>0.96</v>
      </c>
      <c r="BF109" s="54">
        <v>0.98</v>
      </c>
      <c r="BG109" s="55">
        <v>0.96</v>
      </c>
      <c r="BH109" s="55">
        <v>0.94</v>
      </c>
      <c r="BI109" s="55">
        <v>0.93</v>
      </c>
      <c r="BJ109" s="55">
        <v>0.94</v>
      </c>
      <c r="BK109" s="55">
        <v>0.93</v>
      </c>
      <c r="BL109" s="55">
        <v>0.93</v>
      </c>
      <c r="BM109" s="56">
        <v>0.96</v>
      </c>
      <c r="BO109" s="54">
        <v>0.93</v>
      </c>
      <c r="BP109" s="55">
        <v>0.94</v>
      </c>
      <c r="BQ109" s="55">
        <v>0.92</v>
      </c>
      <c r="BR109" s="55">
        <v>0.94</v>
      </c>
      <c r="BS109" s="55">
        <v>0.94</v>
      </c>
      <c r="BT109" s="55">
        <v>0.91</v>
      </c>
      <c r="BU109" s="55">
        <v>0.93</v>
      </c>
      <c r="BV109" s="56">
        <v>0.93</v>
      </c>
    </row>
    <row r="110" spans="2:74" x14ac:dyDescent="0.2">
      <c r="B110" s="653"/>
      <c r="C110" s="44">
        <v>1</v>
      </c>
      <c r="D110" s="54">
        <v>1</v>
      </c>
      <c r="E110" s="55">
        <v>1</v>
      </c>
      <c r="F110" s="55">
        <v>1</v>
      </c>
      <c r="G110" s="55">
        <v>1</v>
      </c>
      <c r="H110" s="55">
        <v>1</v>
      </c>
      <c r="I110" s="55">
        <v>1</v>
      </c>
      <c r="J110" s="55">
        <v>1</v>
      </c>
      <c r="K110" s="56">
        <v>1</v>
      </c>
      <c r="M110" s="54">
        <v>1</v>
      </c>
      <c r="N110" s="55">
        <v>1</v>
      </c>
      <c r="O110" s="55">
        <v>1</v>
      </c>
      <c r="P110" s="55">
        <v>1</v>
      </c>
      <c r="Q110" s="55">
        <v>1</v>
      </c>
      <c r="R110" s="55">
        <v>1</v>
      </c>
      <c r="S110" s="55">
        <v>1</v>
      </c>
      <c r="T110" s="56">
        <v>1</v>
      </c>
      <c r="V110" s="54">
        <v>1</v>
      </c>
      <c r="W110" s="55">
        <v>1</v>
      </c>
      <c r="X110" s="55">
        <v>1</v>
      </c>
      <c r="Y110" s="55">
        <v>1</v>
      </c>
      <c r="Z110" s="55">
        <v>1</v>
      </c>
      <c r="AA110" s="55">
        <v>1</v>
      </c>
      <c r="AB110" s="55">
        <v>1</v>
      </c>
      <c r="AC110" s="56">
        <v>1</v>
      </c>
      <c r="AE110" s="54">
        <v>0.97</v>
      </c>
      <c r="AF110" s="55">
        <v>0.95</v>
      </c>
      <c r="AG110" s="55">
        <v>0.92</v>
      </c>
      <c r="AH110" s="55">
        <v>0.9</v>
      </c>
      <c r="AI110" s="55">
        <v>0.93</v>
      </c>
      <c r="AJ110" s="55">
        <v>0.91</v>
      </c>
      <c r="AK110" s="55">
        <v>0.91</v>
      </c>
      <c r="AL110" s="56">
        <v>0.95</v>
      </c>
      <c r="AN110" s="54">
        <v>0.97</v>
      </c>
      <c r="AO110" s="55">
        <v>0.95</v>
      </c>
      <c r="AP110" s="55">
        <v>0.92</v>
      </c>
      <c r="AQ110" s="55">
        <v>0.9</v>
      </c>
      <c r="AR110" s="55">
        <v>0.93</v>
      </c>
      <c r="AS110" s="55">
        <v>0.91</v>
      </c>
      <c r="AT110" s="55">
        <v>0.91</v>
      </c>
      <c r="AU110" s="56">
        <v>0.95</v>
      </c>
      <c r="AW110" s="54">
        <v>0.96</v>
      </c>
      <c r="AX110" s="55">
        <v>0.94</v>
      </c>
      <c r="AY110" s="55">
        <v>0.91</v>
      </c>
      <c r="AZ110" s="55">
        <v>0.89</v>
      </c>
      <c r="BA110" s="55">
        <v>0.92</v>
      </c>
      <c r="BB110" s="55">
        <v>0.9</v>
      </c>
      <c r="BC110" s="55">
        <v>0.89</v>
      </c>
      <c r="BD110" s="56">
        <v>0.93</v>
      </c>
      <c r="BF110" s="54">
        <v>0.96</v>
      </c>
      <c r="BG110" s="55">
        <v>0.94</v>
      </c>
      <c r="BH110" s="55">
        <v>0.91</v>
      </c>
      <c r="BI110" s="55">
        <v>0.89</v>
      </c>
      <c r="BJ110" s="55">
        <v>0.92</v>
      </c>
      <c r="BK110" s="55">
        <v>0.9</v>
      </c>
      <c r="BL110" s="55">
        <v>0.89</v>
      </c>
      <c r="BM110" s="56">
        <v>0.93</v>
      </c>
      <c r="BO110" s="54">
        <v>0.88</v>
      </c>
      <c r="BP110" s="55">
        <v>0.91</v>
      </c>
      <c r="BQ110" s="55">
        <v>0.89</v>
      </c>
      <c r="BR110" s="55">
        <v>0.91</v>
      </c>
      <c r="BS110" s="55">
        <v>0.91</v>
      </c>
      <c r="BT110" s="55">
        <v>0.89</v>
      </c>
      <c r="BU110" s="55">
        <v>0.9</v>
      </c>
      <c r="BV110" s="56">
        <v>0.89</v>
      </c>
    </row>
    <row r="111" spans="2:74" x14ac:dyDescent="0.2">
      <c r="B111" s="653"/>
      <c r="C111" s="44">
        <v>1.2</v>
      </c>
      <c r="D111" s="54">
        <v>1</v>
      </c>
      <c r="E111" s="55">
        <v>1</v>
      </c>
      <c r="F111" s="55">
        <v>1</v>
      </c>
      <c r="G111" s="55">
        <v>1</v>
      </c>
      <c r="H111" s="55">
        <v>1</v>
      </c>
      <c r="I111" s="55">
        <v>1</v>
      </c>
      <c r="J111" s="55">
        <v>1</v>
      </c>
      <c r="K111" s="56">
        <v>1</v>
      </c>
      <c r="M111" s="54">
        <v>1</v>
      </c>
      <c r="N111" s="55">
        <v>1</v>
      </c>
      <c r="O111" s="55">
        <v>1</v>
      </c>
      <c r="P111" s="55">
        <v>1</v>
      </c>
      <c r="Q111" s="55">
        <v>1</v>
      </c>
      <c r="R111" s="55">
        <v>1</v>
      </c>
      <c r="S111" s="55">
        <v>1</v>
      </c>
      <c r="T111" s="56">
        <v>1</v>
      </c>
      <c r="V111" s="54">
        <v>1</v>
      </c>
      <c r="W111" s="55">
        <v>1</v>
      </c>
      <c r="X111" s="55">
        <v>1</v>
      </c>
      <c r="Y111" s="55">
        <v>1</v>
      </c>
      <c r="Z111" s="55">
        <v>1</v>
      </c>
      <c r="AA111" s="55">
        <v>1</v>
      </c>
      <c r="AB111" s="55">
        <v>1</v>
      </c>
      <c r="AC111" s="56">
        <v>1</v>
      </c>
      <c r="AE111" s="54">
        <v>0.94</v>
      </c>
      <c r="AF111" s="55">
        <v>0.92</v>
      </c>
      <c r="AG111" s="55">
        <v>0.88</v>
      </c>
      <c r="AH111" s="55">
        <v>0.87</v>
      </c>
      <c r="AI111" s="55">
        <v>0.91</v>
      </c>
      <c r="AJ111" s="55">
        <v>0.88</v>
      </c>
      <c r="AK111" s="55">
        <v>0.87</v>
      </c>
      <c r="AL111" s="56">
        <v>0.93</v>
      </c>
      <c r="AN111" s="54">
        <v>0.94</v>
      </c>
      <c r="AO111" s="55">
        <v>0.92</v>
      </c>
      <c r="AP111" s="55">
        <v>0.88</v>
      </c>
      <c r="AQ111" s="55">
        <v>0.87</v>
      </c>
      <c r="AR111" s="55">
        <v>0.91</v>
      </c>
      <c r="AS111" s="55">
        <v>0.88</v>
      </c>
      <c r="AT111" s="55">
        <v>0.87</v>
      </c>
      <c r="AU111" s="56">
        <v>0.93</v>
      </c>
      <c r="AW111" s="54">
        <v>0.92</v>
      </c>
      <c r="AX111" s="55">
        <v>0.91</v>
      </c>
      <c r="AY111" s="55">
        <v>0.87</v>
      </c>
      <c r="AZ111" s="55">
        <v>0.86</v>
      </c>
      <c r="BA111" s="55">
        <v>0.9</v>
      </c>
      <c r="BB111" s="55">
        <v>0.86</v>
      </c>
      <c r="BC111" s="55">
        <v>0.84</v>
      </c>
      <c r="BD111" s="56">
        <v>0.89</v>
      </c>
      <c r="BF111" s="54">
        <v>0.92</v>
      </c>
      <c r="BG111" s="55">
        <v>0.91</v>
      </c>
      <c r="BH111" s="55">
        <v>0.87</v>
      </c>
      <c r="BI111" s="55">
        <v>0.86</v>
      </c>
      <c r="BJ111" s="55">
        <v>0.9</v>
      </c>
      <c r="BK111" s="55">
        <v>0.86</v>
      </c>
      <c r="BL111" s="55">
        <v>0.84</v>
      </c>
      <c r="BM111" s="56">
        <v>0.89</v>
      </c>
      <c r="BO111" s="54">
        <v>0.8</v>
      </c>
      <c r="BP111" s="55">
        <v>0.86</v>
      </c>
      <c r="BQ111" s="55">
        <v>0.84</v>
      </c>
      <c r="BR111" s="55">
        <v>0.88</v>
      </c>
      <c r="BS111" s="55">
        <v>0.89</v>
      </c>
      <c r="BT111" s="55">
        <v>0.86</v>
      </c>
      <c r="BU111" s="55">
        <v>0.86</v>
      </c>
      <c r="BV111" s="56">
        <v>0.84</v>
      </c>
    </row>
    <row r="112" spans="2:74" x14ac:dyDescent="0.2">
      <c r="B112" s="653"/>
      <c r="C112" s="44">
        <v>1.4</v>
      </c>
      <c r="D112" s="54">
        <v>1</v>
      </c>
      <c r="E112" s="55">
        <v>1</v>
      </c>
      <c r="F112" s="55">
        <v>1</v>
      </c>
      <c r="G112" s="55">
        <v>1</v>
      </c>
      <c r="H112" s="55">
        <v>1</v>
      </c>
      <c r="I112" s="55">
        <v>1</v>
      </c>
      <c r="J112" s="55">
        <v>1</v>
      </c>
      <c r="K112" s="56">
        <v>1</v>
      </c>
      <c r="M112" s="54">
        <v>1</v>
      </c>
      <c r="N112" s="55">
        <v>1</v>
      </c>
      <c r="O112" s="55">
        <v>1</v>
      </c>
      <c r="P112" s="55">
        <v>1</v>
      </c>
      <c r="Q112" s="55">
        <v>1</v>
      </c>
      <c r="R112" s="55">
        <v>1</v>
      </c>
      <c r="S112" s="55">
        <v>1</v>
      </c>
      <c r="T112" s="56">
        <v>1</v>
      </c>
      <c r="V112" s="54">
        <v>1</v>
      </c>
      <c r="W112" s="55">
        <v>1</v>
      </c>
      <c r="X112" s="55">
        <v>1</v>
      </c>
      <c r="Y112" s="55">
        <v>1</v>
      </c>
      <c r="Z112" s="55">
        <v>1</v>
      </c>
      <c r="AA112" s="55">
        <v>1</v>
      </c>
      <c r="AB112" s="55">
        <v>1</v>
      </c>
      <c r="AC112" s="56">
        <v>1</v>
      </c>
      <c r="AE112" s="54">
        <v>0.88</v>
      </c>
      <c r="AF112" s="55">
        <v>0.87</v>
      </c>
      <c r="AG112" s="55">
        <v>0.83</v>
      </c>
      <c r="AH112" s="55">
        <v>0.83</v>
      </c>
      <c r="AI112" s="55">
        <v>0.89</v>
      </c>
      <c r="AJ112" s="55">
        <v>0.85</v>
      </c>
      <c r="AK112" s="55">
        <v>0.83</v>
      </c>
      <c r="AL112" s="56">
        <v>0.88</v>
      </c>
      <c r="AN112" s="54">
        <v>0.88</v>
      </c>
      <c r="AO112" s="55">
        <v>0.87</v>
      </c>
      <c r="AP112" s="55">
        <v>0.83</v>
      </c>
      <c r="AQ112" s="55">
        <v>0.83</v>
      </c>
      <c r="AR112" s="55">
        <v>0.89</v>
      </c>
      <c r="AS112" s="55">
        <v>0.85</v>
      </c>
      <c r="AT112" s="55">
        <v>0.83</v>
      </c>
      <c r="AU112" s="56">
        <v>0.88</v>
      </c>
      <c r="AW112" s="54">
        <v>0.85</v>
      </c>
      <c r="AX112" s="55">
        <v>0.87</v>
      </c>
      <c r="AY112" s="55">
        <v>0.82</v>
      </c>
      <c r="AZ112" s="55">
        <v>0.82</v>
      </c>
      <c r="BA112" s="55">
        <v>0.87</v>
      </c>
      <c r="BB112" s="55">
        <v>0.83</v>
      </c>
      <c r="BC112" s="55">
        <v>0.8</v>
      </c>
      <c r="BD112" s="56">
        <v>0.84</v>
      </c>
      <c r="BF112" s="54">
        <v>0.85</v>
      </c>
      <c r="BG112" s="55">
        <v>0.87</v>
      </c>
      <c r="BH112" s="55">
        <v>0.82</v>
      </c>
      <c r="BI112" s="55">
        <v>0.82</v>
      </c>
      <c r="BJ112" s="55">
        <v>0.87</v>
      </c>
      <c r="BK112" s="55">
        <v>0.83</v>
      </c>
      <c r="BL112" s="55">
        <v>0.8</v>
      </c>
      <c r="BM112" s="56">
        <v>0.84</v>
      </c>
      <c r="BO112" s="54">
        <v>0.72</v>
      </c>
      <c r="BP112" s="55">
        <v>0.8</v>
      </c>
      <c r="BQ112" s="55">
        <v>0.78</v>
      </c>
      <c r="BR112" s="55">
        <v>0.87</v>
      </c>
      <c r="BS112" s="55">
        <v>0.86</v>
      </c>
      <c r="BT112" s="55">
        <v>0.83</v>
      </c>
      <c r="BU112" s="55">
        <v>0.81</v>
      </c>
      <c r="BV112" s="56">
        <v>0.78</v>
      </c>
    </row>
    <row r="113" spans="2:74" x14ac:dyDescent="0.2">
      <c r="B113" s="653"/>
      <c r="C113" s="44">
        <v>1.6</v>
      </c>
      <c r="D113" s="54">
        <v>1</v>
      </c>
      <c r="E113" s="55">
        <v>1</v>
      </c>
      <c r="F113" s="55">
        <v>1</v>
      </c>
      <c r="G113" s="55">
        <v>1</v>
      </c>
      <c r="H113" s="55">
        <v>1</v>
      </c>
      <c r="I113" s="55">
        <v>1</v>
      </c>
      <c r="J113" s="55">
        <v>1</v>
      </c>
      <c r="K113" s="56">
        <v>1</v>
      </c>
      <c r="M113" s="54">
        <v>1</v>
      </c>
      <c r="N113" s="55">
        <v>1</v>
      </c>
      <c r="O113" s="55">
        <v>1</v>
      </c>
      <c r="P113" s="55">
        <v>1</v>
      </c>
      <c r="Q113" s="55">
        <v>1</v>
      </c>
      <c r="R113" s="55">
        <v>1</v>
      </c>
      <c r="S113" s="55">
        <v>1</v>
      </c>
      <c r="T113" s="56">
        <v>1</v>
      </c>
      <c r="V113" s="54">
        <v>1</v>
      </c>
      <c r="W113" s="55">
        <v>1</v>
      </c>
      <c r="X113" s="55">
        <v>1</v>
      </c>
      <c r="Y113" s="55">
        <v>1</v>
      </c>
      <c r="Z113" s="55">
        <v>1</v>
      </c>
      <c r="AA113" s="55">
        <v>1</v>
      </c>
      <c r="AB113" s="55">
        <v>1</v>
      </c>
      <c r="AC113" s="56">
        <v>1</v>
      </c>
      <c r="AE113" s="54">
        <v>0.77</v>
      </c>
      <c r="AF113" s="55">
        <v>0.8</v>
      </c>
      <c r="AG113" s="55">
        <v>0.77</v>
      </c>
      <c r="AH113" s="55">
        <v>0.8</v>
      </c>
      <c r="AI113" s="55">
        <v>0.87</v>
      </c>
      <c r="AJ113" s="55">
        <v>0.82</v>
      </c>
      <c r="AK113" s="55">
        <v>0.77</v>
      </c>
      <c r="AL113" s="56">
        <v>0.83</v>
      </c>
      <c r="AN113" s="54">
        <v>0.77</v>
      </c>
      <c r="AO113" s="55">
        <v>0.8</v>
      </c>
      <c r="AP113" s="55">
        <v>0.77</v>
      </c>
      <c r="AQ113" s="55">
        <v>0.8</v>
      </c>
      <c r="AR113" s="55">
        <v>0.87</v>
      </c>
      <c r="AS113" s="55">
        <v>0.82</v>
      </c>
      <c r="AT113" s="55">
        <v>0.77</v>
      </c>
      <c r="AU113" s="56">
        <v>0.83</v>
      </c>
      <c r="AW113" s="54">
        <v>0.76</v>
      </c>
      <c r="AX113" s="55">
        <v>0.81</v>
      </c>
      <c r="AY113" s="55">
        <v>0.77</v>
      </c>
      <c r="AZ113" s="55">
        <v>0.79</v>
      </c>
      <c r="BA113" s="55">
        <v>0.85</v>
      </c>
      <c r="BB113" s="55">
        <v>0.8</v>
      </c>
      <c r="BC113" s="55">
        <v>0.74</v>
      </c>
      <c r="BD113" s="56">
        <v>0.77</v>
      </c>
      <c r="BF113" s="54">
        <v>0.76</v>
      </c>
      <c r="BG113" s="55">
        <v>0.81</v>
      </c>
      <c r="BH113" s="55">
        <v>0.77</v>
      </c>
      <c r="BI113" s="55">
        <v>0.79</v>
      </c>
      <c r="BJ113" s="55">
        <v>0.85</v>
      </c>
      <c r="BK113" s="55">
        <v>0.8</v>
      </c>
      <c r="BL113" s="55">
        <v>0.74</v>
      </c>
      <c r="BM113" s="56">
        <v>0.77</v>
      </c>
      <c r="BO113" s="54">
        <v>0.63</v>
      </c>
      <c r="BP113" s="55">
        <v>0.74</v>
      </c>
      <c r="BQ113" s="55">
        <v>0.75</v>
      </c>
      <c r="BR113" s="55">
        <v>0.87</v>
      </c>
      <c r="BS113" s="55">
        <v>0.84</v>
      </c>
      <c r="BT113" s="55">
        <v>0.8</v>
      </c>
      <c r="BU113" s="55">
        <v>0.77</v>
      </c>
      <c r="BV113" s="56">
        <v>0.72</v>
      </c>
    </row>
    <row r="114" spans="2:74" x14ac:dyDescent="0.2">
      <c r="B114" s="653"/>
      <c r="C114" s="44">
        <v>1.8</v>
      </c>
      <c r="D114" s="54">
        <v>1</v>
      </c>
      <c r="E114" s="55">
        <v>1</v>
      </c>
      <c r="F114" s="55">
        <v>1</v>
      </c>
      <c r="G114" s="55">
        <v>1</v>
      </c>
      <c r="H114" s="55">
        <v>1</v>
      </c>
      <c r="I114" s="55">
        <v>1</v>
      </c>
      <c r="J114" s="55">
        <v>1</v>
      </c>
      <c r="K114" s="56">
        <v>1</v>
      </c>
      <c r="M114" s="54">
        <v>1</v>
      </c>
      <c r="N114" s="55">
        <v>1</v>
      </c>
      <c r="O114" s="55">
        <v>1</v>
      </c>
      <c r="P114" s="55">
        <v>1</v>
      </c>
      <c r="Q114" s="55">
        <v>1</v>
      </c>
      <c r="R114" s="55">
        <v>1</v>
      </c>
      <c r="S114" s="55">
        <v>1</v>
      </c>
      <c r="T114" s="56">
        <v>1</v>
      </c>
      <c r="V114" s="54">
        <v>1</v>
      </c>
      <c r="W114" s="55">
        <v>1</v>
      </c>
      <c r="X114" s="55">
        <v>1</v>
      </c>
      <c r="Y114" s="55">
        <v>1</v>
      </c>
      <c r="Z114" s="55">
        <v>1</v>
      </c>
      <c r="AA114" s="55">
        <v>1</v>
      </c>
      <c r="AB114" s="55">
        <v>1</v>
      </c>
      <c r="AC114" s="56">
        <v>1</v>
      </c>
      <c r="AE114" s="54">
        <v>0.66</v>
      </c>
      <c r="AF114" s="55">
        <v>0.73</v>
      </c>
      <c r="AG114" s="55">
        <v>0.71</v>
      </c>
      <c r="AH114" s="55">
        <v>0.77</v>
      </c>
      <c r="AI114" s="55">
        <v>0.86</v>
      </c>
      <c r="AJ114" s="55">
        <v>0.79</v>
      </c>
      <c r="AK114" s="55">
        <v>0.72</v>
      </c>
      <c r="AL114" s="56">
        <v>0.77</v>
      </c>
      <c r="AN114" s="54">
        <v>0.66</v>
      </c>
      <c r="AO114" s="55">
        <v>0.73</v>
      </c>
      <c r="AP114" s="55">
        <v>0.71</v>
      </c>
      <c r="AQ114" s="55">
        <v>0.77</v>
      </c>
      <c r="AR114" s="55">
        <v>0.86</v>
      </c>
      <c r="AS114" s="55">
        <v>0.79</v>
      </c>
      <c r="AT114" s="55">
        <v>0.72</v>
      </c>
      <c r="AU114" s="56">
        <v>0.77</v>
      </c>
      <c r="AW114" s="54">
        <v>0.67</v>
      </c>
      <c r="AX114" s="55">
        <v>0.75</v>
      </c>
      <c r="AY114" s="55">
        <v>0.72</v>
      </c>
      <c r="AZ114" s="55">
        <v>0.75</v>
      </c>
      <c r="BA114" s="55">
        <v>0.83</v>
      </c>
      <c r="BB114" s="55">
        <v>0.77</v>
      </c>
      <c r="BC114" s="55">
        <v>0.69</v>
      </c>
      <c r="BD114" s="56">
        <v>0.69</v>
      </c>
      <c r="BF114" s="54">
        <v>0.67</v>
      </c>
      <c r="BG114" s="55">
        <v>0.75</v>
      </c>
      <c r="BH114" s="55">
        <v>0.72</v>
      </c>
      <c r="BI114" s="55">
        <v>0.75</v>
      </c>
      <c r="BJ114" s="55">
        <v>0.83</v>
      </c>
      <c r="BK114" s="55">
        <v>0.77</v>
      </c>
      <c r="BL114" s="55">
        <v>0.69</v>
      </c>
      <c r="BM114" s="56">
        <v>0.69</v>
      </c>
      <c r="BO114" s="54">
        <v>0.54</v>
      </c>
      <c r="BP114" s="55">
        <v>0.67</v>
      </c>
      <c r="BQ114" s="55">
        <v>0.71</v>
      </c>
      <c r="BR114" s="55">
        <v>0.86</v>
      </c>
      <c r="BS114" s="55">
        <v>0.82</v>
      </c>
      <c r="BT114" s="55">
        <v>0.77</v>
      </c>
      <c r="BU114" s="55">
        <v>0.72</v>
      </c>
      <c r="BV114" s="56">
        <v>0.65</v>
      </c>
    </row>
    <row r="115" spans="2:74" x14ac:dyDescent="0.2">
      <c r="B115" s="654"/>
      <c r="C115" s="45">
        <v>2</v>
      </c>
      <c r="D115" s="57">
        <v>1</v>
      </c>
      <c r="E115" s="58">
        <v>1</v>
      </c>
      <c r="F115" s="58">
        <v>1</v>
      </c>
      <c r="G115" s="58">
        <v>1</v>
      </c>
      <c r="H115" s="58">
        <v>1</v>
      </c>
      <c r="I115" s="58">
        <v>1</v>
      </c>
      <c r="J115" s="58">
        <v>1</v>
      </c>
      <c r="K115" s="59">
        <v>1</v>
      </c>
      <c r="M115" s="57">
        <v>1</v>
      </c>
      <c r="N115" s="58">
        <v>1</v>
      </c>
      <c r="O115" s="58">
        <v>1</v>
      </c>
      <c r="P115" s="58">
        <v>1</v>
      </c>
      <c r="Q115" s="58">
        <v>1</v>
      </c>
      <c r="R115" s="58">
        <v>1</v>
      </c>
      <c r="S115" s="58">
        <v>1</v>
      </c>
      <c r="T115" s="59">
        <v>1</v>
      </c>
      <c r="V115" s="57">
        <v>1</v>
      </c>
      <c r="W115" s="58">
        <v>1</v>
      </c>
      <c r="X115" s="58">
        <v>1</v>
      </c>
      <c r="Y115" s="58">
        <v>1</v>
      </c>
      <c r="Z115" s="58">
        <v>1</v>
      </c>
      <c r="AA115" s="58">
        <v>1</v>
      </c>
      <c r="AB115" s="58">
        <v>1</v>
      </c>
      <c r="AC115" s="59">
        <v>1</v>
      </c>
      <c r="AE115" s="57">
        <v>0.56000000000000005</v>
      </c>
      <c r="AF115" s="58">
        <v>0.66</v>
      </c>
      <c r="AG115" s="58">
        <v>0.66</v>
      </c>
      <c r="AH115" s="58">
        <v>0.73</v>
      </c>
      <c r="AI115" s="58">
        <v>0.84</v>
      </c>
      <c r="AJ115" s="58">
        <v>0.77</v>
      </c>
      <c r="AK115" s="58">
        <v>0.67</v>
      </c>
      <c r="AL115" s="59">
        <v>0.71</v>
      </c>
      <c r="AN115" s="57">
        <v>0.56000000000000005</v>
      </c>
      <c r="AO115" s="58">
        <v>0.66</v>
      </c>
      <c r="AP115" s="58">
        <v>0.66</v>
      </c>
      <c r="AQ115" s="58">
        <v>0.73</v>
      </c>
      <c r="AR115" s="58">
        <v>0.84</v>
      </c>
      <c r="AS115" s="58">
        <v>0.77</v>
      </c>
      <c r="AT115" s="58">
        <v>0.67</v>
      </c>
      <c r="AU115" s="59">
        <v>0.71</v>
      </c>
      <c r="AW115" s="57">
        <v>0.56999999999999995</v>
      </c>
      <c r="AX115" s="58">
        <v>0.69</v>
      </c>
      <c r="AY115" s="58">
        <v>0.67</v>
      </c>
      <c r="AZ115" s="58">
        <v>0.72</v>
      </c>
      <c r="BA115" s="58">
        <v>0.81</v>
      </c>
      <c r="BB115" s="58">
        <v>0.74</v>
      </c>
      <c r="BC115" s="58">
        <v>0.64</v>
      </c>
      <c r="BD115" s="59">
        <v>0.62</v>
      </c>
      <c r="BF115" s="57">
        <v>0.56999999999999995</v>
      </c>
      <c r="BG115" s="58">
        <v>0.69</v>
      </c>
      <c r="BH115" s="58">
        <v>0.67</v>
      </c>
      <c r="BI115" s="58">
        <v>0.72</v>
      </c>
      <c r="BJ115" s="58">
        <v>0.81</v>
      </c>
      <c r="BK115" s="58">
        <v>0.74</v>
      </c>
      <c r="BL115" s="58">
        <v>0.64</v>
      </c>
      <c r="BM115" s="59">
        <v>0.62</v>
      </c>
      <c r="BO115" s="57">
        <v>0.45</v>
      </c>
      <c r="BP115" s="58">
        <v>0.6</v>
      </c>
      <c r="BQ115" s="58">
        <v>0.67</v>
      </c>
      <c r="BR115" s="58">
        <v>0.86</v>
      </c>
      <c r="BS115" s="58">
        <v>0.79</v>
      </c>
      <c r="BT115" s="58">
        <v>0.74</v>
      </c>
      <c r="BU115" s="58">
        <v>0.68</v>
      </c>
      <c r="BV115" s="59">
        <v>0.57999999999999996</v>
      </c>
    </row>
    <row r="116" spans="2:74" ht="5.25" customHeight="1" x14ac:dyDescent="0.2"/>
    <row r="120" spans="2:74" x14ac:dyDescent="0.2">
      <c r="B120" s="2" t="s">
        <v>328</v>
      </c>
    </row>
    <row r="121" spans="2:74" ht="14.25" x14ac:dyDescent="0.25">
      <c r="B121" s="39" t="s">
        <v>47</v>
      </c>
      <c r="C121" s="35"/>
      <c r="D121" s="35"/>
      <c r="E121" s="35"/>
      <c r="F121" s="35"/>
      <c r="G121" s="35"/>
      <c r="H121" s="35"/>
      <c r="I121" s="35"/>
      <c r="J121" s="35"/>
      <c r="K121" s="33"/>
      <c r="M121" s="39" t="s">
        <v>47</v>
      </c>
      <c r="N121" s="35"/>
      <c r="O121" s="35"/>
      <c r="P121" s="35"/>
      <c r="Q121" s="35"/>
      <c r="R121" s="35"/>
      <c r="S121" s="35"/>
      <c r="T121" s="33"/>
      <c r="V121" s="39" t="s">
        <v>47</v>
      </c>
      <c r="W121" s="35"/>
      <c r="X121" s="35"/>
      <c r="Y121" s="35"/>
      <c r="Z121" s="35"/>
      <c r="AA121" s="35"/>
      <c r="AB121" s="35"/>
      <c r="AC121" s="33"/>
      <c r="AE121" s="39" t="s">
        <v>47</v>
      </c>
      <c r="AF121" s="35"/>
      <c r="AG121" s="35"/>
      <c r="AH121" s="35"/>
      <c r="AI121" s="35"/>
      <c r="AJ121" s="35"/>
      <c r="AK121" s="35"/>
      <c r="AL121" s="33"/>
      <c r="AN121" s="39" t="s">
        <v>47</v>
      </c>
      <c r="AO121" s="35"/>
      <c r="AP121" s="35"/>
      <c r="AQ121" s="35"/>
      <c r="AR121" s="35"/>
      <c r="AS121" s="35"/>
      <c r="AT121" s="35"/>
      <c r="AU121" s="33"/>
      <c r="AW121" s="39" t="s">
        <v>47</v>
      </c>
      <c r="AX121" s="35"/>
      <c r="AY121" s="35"/>
      <c r="AZ121" s="35"/>
      <c r="BA121" s="35"/>
      <c r="BB121" s="35"/>
      <c r="BC121" s="35"/>
      <c r="BD121" s="33"/>
      <c r="BF121" s="39" t="s">
        <v>47</v>
      </c>
      <c r="BG121" s="35"/>
      <c r="BH121" s="35"/>
      <c r="BI121" s="35"/>
      <c r="BJ121" s="35"/>
      <c r="BK121" s="35"/>
      <c r="BL121" s="35"/>
      <c r="BM121" s="33"/>
      <c r="BO121" s="39" t="s">
        <v>47</v>
      </c>
      <c r="BP121" s="35"/>
      <c r="BQ121" s="35"/>
      <c r="BR121" s="35"/>
      <c r="BS121" s="35"/>
      <c r="BT121" s="35"/>
      <c r="BU121" s="35"/>
      <c r="BV121" s="33"/>
    </row>
    <row r="122" spans="2:74" x14ac:dyDescent="0.2">
      <c r="B122" s="39" t="s">
        <v>43</v>
      </c>
      <c r="C122" s="35"/>
      <c r="D122" s="35"/>
      <c r="E122" s="35"/>
      <c r="F122" s="35"/>
      <c r="G122" s="35"/>
      <c r="H122" s="35"/>
      <c r="I122" s="35"/>
      <c r="J122" s="35"/>
      <c r="K122" s="47"/>
      <c r="M122" s="39" t="s">
        <v>45</v>
      </c>
      <c r="N122" s="35"/>
      <c r="O122" s="35"/>
      <c r="P122" s="35"/>
      <c r="Q122" s="35"/>
      <c r="R122" s="35"/>
      <c r="S122" s="35"/>
      <c r="T122" s="47" t="s">
        <v>48</v>
      </c>
      <c r="V122" s="39" t="s">
        <v>46</v>
      </c>
      <c r="W122" s="35"/>
      <c r="X122" s="35"/>
      <c r="Y122" s="35"/>
      <c r="Z122" s="35"/>
      <c r="AA122" s="35"/>
      <c r="AB122" s="35"/>
      <c r="AC122" s="47" t="s">
        <v>48</v>
      </c>
      <c r="AE122" s="39" t="s">
        <v>37</v>
      </c>
      <c r="AF122" s="35"/>
      <c r="AG122" s="35"/>
      <c r="AH122" s="35"/>
      <c r="AI122" s="35"/>
      <c r="AJ122" s="35"/>
      <c r="AK122" s="35"/>
      <c r="AL122" s="47"/>
      <c r="AN122" s="39" t="s">
        <v>49</v>
      </c>
      <c r="AO122" s="35"/>
      <c r="AP122" s="35"/>
      <c r="AQ122" s="35"/>
      <c r="AR122" s="35"/>
      <c r="AS122" s="35"/>
      <c r="AT122" s="35"/>
      <c r="AU122" s="47" t="s">
        <v>50</v>
      </c>
      <c r="AW122" s="39" t="s">
        <v>40</v>
      </c>
      <c r="AX122" s="35"/>
      <c r="AY122" s="35"/>
      <c r="AZ122" s="35"/>
      <c r="BA122" s="35"/>
      <c r="BB122" s="35"/>
      <c r="BC122" s="35"/>
      <c r="BD122" s="47"/>
      <c r="BF122" s="39" t="s">
        <v>51</v>
      </c>
      <c r="BG122" s="35"/>
      <c r="BH122" s="35"/>
      <c r="BI122" s="35"/>
      <c r="BJ122" s="35"/>
      <c r="BK122" s="35"/>
      <c r="BL122" s="35"/>
      <c r="BM122" s="47" t="s">
        <v>42</v>
      </c>
      <c r="BO122" s="39" t="s">
        <v>27</v>
      </c>
      <c r="BP122" s="35"/>
      <c r="BQ122" s="35"/>
      <c r="BR122" s="35"/>
      <c r="BS122" s="35"/>
      <c r="BT122" s="35"/>
      <c r="BU122" s="35"/>
      <c r="BV122" s="47"/>
    </row>
    <row r="123" spans="2:74" ht="22.5" x14ac:dyDescent="0.2">
      <c r="B123" s="13" t="s">
        <v>29</v>
      </c>
      <c r="C123" s="36" t="s">
        <v>3</v>
      </c>
      <c r="D123" s="7" t="s">
        <v>28</v>
      </c>
      <c r="E123" s="8"/>
      <c r="F123" s="8"/>
      <c r="G123" s="8"/>
      <c r="H123" s="8"/>
      <c r="I123" s="8"/>
      <c r="J123" s="8"/>
      <c r="K123" s="9"/>
      <c r="M123" s="7" t="s">
        <v>28</v>
      </c>
      <c r="N123" s="8"/>
      <c r="O123" s="8"/>
      <c r="P123" s="8"/>
      <c r="Q123" s="8"/>
      <c r="R123" s="8"/>
      <c r="S123" s="8"/>
      <c r="T123" s="9"/>
      <c r="V123" s="7" t="s">
        <v>28</v>
      </c>
      <c r="W123" s="8"/>
      <c r="X123" s="8"/>
      <c r="Y123" s="8"/>
      <c r="Z123" s="8"/>
      <c r="AA123" s="8"/>
      <c r="AB123" s="8"/>
      <c r="AC123" s="9"/>
      <c r="AE123" s="7" t="s">
        <v>28</v>
      </c>
      <c r="AF123" s="8"/>
      <c r="AG123" s="8"/>
      <c r="AH123" s="8"/>
      <c r="AI123" s="8"/>
      <c r="AJ123" s="8"/>
      <c r="AK123" s="8"/>
      <c r="AL123" s="9"/>
      <c r="AN123" s="7" t="s">
        <v>28</v>
      </c>
      <c r="AO123" s="8"/>
      <c r="AP123" s="8"/>
      <c r="AQ123" s="8"/>
      <c r="AR123" s="8"/>
      <c r="AS123" s="8"/>
      <c r="AT123" s="8"/>
      <c r="AU123" s="9"/>
      <c r="AW123" s="7" t="s">
        <v>28</v>
      </c>
      <c r="AX123" s="8"/>
      <c r="AY123" s="8"/>
      <c r="AZ123" s="8"/>
      <c r="BA123" s="8"/>
      <c r="BB123" s="8"/>
      <c r="BC123" s="8"/>
      <c r="BD123" s="9"/>
      <c r="BF123" s="7" t="s">
        <v>28</v>
      </c>
      <c r="BG123" s="8"/>
      <c r="BH123" s="8"/>
      <c r="BI123" s="8"/>
      <c r="BJ123" s="8"/>
      <c r="BK123" s="8"/>
      <c r="BL123" s="8"/>
      <c r="BM123" s="9"/>
      <c r="BO123" s="7" t="s">
        <v>28</v>
      </c>
      <c r="BP123" s="8"/>
      <c r="BQ123" s="8"/>
      <c r="BR123" s="8"/>
      <c r="BS123" s="8"/>
      <c r="BT123" s="8"/>
      <c r="BU123" s="8"/>
      <c r="BV123" s="9"/>
    </row>
    <row r="124" spans="2:74" ht="22.5" x14ac:dyDescent="0.2">
      <c r="B124" s="37" t="s">
        <v>30</v>
      </c>
      <c r="C124" s="38" t="s">
        <v>30</v>
      </c>
      <c r="D124" s="40" t="s">
        <v>16</v>
      </c>
      <c r="E124" s="41" t="s">
        <v>24</v>
      </c>
      <c r="F124" s="41" t="s">
        <v>17</v>
      </c>
      <c r="G124" s="41" t="s">
        <v>25</v>
      </c>
      <c r="H124" s="41" t="s">
        <v>18</v>
      </c>
      <c r="I124" s="41" t="s">
        <v>19</v>
      </c>
      <c r="J124" s="41" t="s">
        <v>20</v>
      </c>
      <c r="K124" s="42" t="s">
        <v>26</v>
      </c>
      <c r="M124" s="40" t="s">
        <v>16</v>
      </c>
      <c r="N124" s="41" t="s">
        <v>24</v>
      </c>
      <c r="O124" s="41" t="s">
        <v>17</v>
      </c>
      <c r="P124" s="41" t="s">
        <v>25</v>
      </c>
      <c r="Q124" s="41" t="s">
        <v>18</v>
      </c>
      <c r="R124" s="41" t="s">
        <v>19</v>
      </c>
      <c r="S124" s="41" t="s">
        <v>20</v>
      </c>
      <c r="T124" s="42" t="s">
        <v>26</v>
      </c>
      <c r="V124" s="40" t="s">
        <v>16</v>
      </c>
      <c r="W124" s="41" t="s">
        <v>24</v>
      </c>
      <c r="X124" s="41" t="s">
        <v>17</v>
      </c>
      <c r="Y124" s="41" t="s">
        <v>25</v>
      </c>
      <c r="Z124" s="41" t="s">
        <v>18</v>
      </c>
      <c r="AA124" s="41" t="s">
        <v>19</v>
      </c>
      <c r="AB124" s="41" t="s">
        <v>20</v>
      </c>
      <c r="AC124" s="42" t="s">
        <v>26</v>
      </c>
      <c r="AE124" s="40" t="s">
        <v>16</v>
      </c>
      <c r="AF124" s="41" t="s">
        <v>24</v>
      </c>
      <c r="AG124" s="41" t="s">
        <v>17</v>
      </c>
      <c r="AH124" s="41" t="s">
        <v>25</v>
      </c>
      <c r="AI124" s="41" t="s">
        <v>18</v>
      </c>
      <c r="AJ124" s="41" t="s">
        <v>19</v>
      </c>
      <c r="AK124" s="41" t="s">
        <v>20</v>
      </c>
      <c r="AL124" s="42" t="s">
        <v>26</v>
      </c>
      <c r="AN124" s="40" t="s">
        <v>16</v>
      </c>
      <c r="AO124" s="41" t="s">
        <v>24</v>
      </c>
      <c r="AP124" s="41" t="s">
        <v>17</v>
      </c>
      <c r="AQ124" s="41" t="s">
        <v>25</v>
      </c>
      <c r="AR124" s="41" t="s">
        <v>18</v>
      </c>
      <c r="AS124" s="41" t="s">
        <v>19</v>
      </c>
      <c r="AT124" s="41" t="s">
        <v>20</v>
      </c>
      <c r="AU124" s="42" t="s">
        <v>26</v>
      </c>
      <c r="AW124" s="40" t="s">
        <v>16</v>
      </c>
      <c r="AX124" s="41" t="s">
        <v>24</v>
      </c>
      <c r="AY124" s="41" t="s">
        <v>17</v>
      </c>
      <c r="AZ124" s="41" t="s">
        <v>25</v>
      </c>
      <c r="BA124" s="41" t="s">
        <v>18</v>
      </c>
      <c r="BB124" s="41" t="s">
        <v>19</v>
      </c>
      <c r="BC124" s="41" t="s">
        <v>20</v>
      </c>
      <c r="BD124" s="42" t="s">
        <v>26</v>
      </c>
      <c r="BF124" s="40" t="s">
        <v>16</v>
      </c>
      <c r="BG124" s="41" t="s">
        <v>24</v>
      </c>
      <c r="BH124" s="41" t="s">
        <v>17</v>
      </c>
      <c r="BI124" s="41" t="s">
        <v>25</v>
      </c>
      <c r="BJ124" s="41" t="s">
        <v>18</v>
      </c>
      <c r="BK124" s="41" t="s">
        <v>19</v>
      </c>
      <c r="BL124" s="41" t="s">
        <v>20</v>
      </c>
      <c r="BM124" s="42" t="s">
        <v>26</v>
      </c>
      <c r="BO124" s="40" t="s">
        <v>16</v>
      </c>
      <c r="BP124" s="41" t="s">
        <v>24</v>
      </c>
      <c r="BQ124" s="41" t="s">
        <v>17</v>
      </c>
      <c r="BR124" s="41" t="s">
        <v>25</v>
      </c>
      <c r="BS124" s="41" t="s">
        <v>18</v>
      </c>
      <c r="BT124" s="41" t="s">
        <v>19</v>
      </c>
      <c r="BU124" s="41" t="s">
        <v>20</v>
      </c>
      <c r="BV124" s="42" t="s">
        <v>26</v>
      </c>
    </row>
    <row r="125" spans="2:74" x14ac:dyDescent="0.2">
      <c r="B125" s="653" t="s">
        <v>31</v>
      </c>
      <c r="C125" s="43">
        <v>0</v>
      </c>
      <c r="D125" s="51">
        <v>1</v>
      </c>
      <c r="E125" s="52">
        <v>1</v>
      </c>
      <c r="F125" s="52">
        <v>1</v>
      </c>
      <c r="G125" s="52">
        <v>1</v>
      </c>
      <c r="H125" s="52">
        <v>1</v>
      </c>
      <c r="I125" s="52">
        <v>1</v>
      </c>
      <c r="J125" s="52">
        <v>1</v>
      </c>
      <c r="K125" s="53">
        <v>1</v>
      </c>
      <c r="M125" s="51">
        <v>1</v>
      </c>
      <c r="N125" s="52">
        <v>1</v>
      </c>
      <c r="O125" s="52">
        <v>1</v>
      </c>
      <c r="P125" s="52">
        <v>1</v>
      </c>
      <c r="Q125" s="52">
        <v>1</v>
      </c>
      <c r="R125" s="52">
        <v>1</v>
      </c>
      <c r="S125" s="52">
        <v>1</v>
      </c>
      <c r="T125" s="53">
        <v>1</v>
      </c>
      <c r="V125" s="51">
        <v>1</v>
      </c>
      <c r="W125" s="52">
        <v>1</v>
      </c>
      <c r="X125" s="52">
        <v>1</v>
      </c>
      <c r="Y125" s="52">
        <v>1</v>
      </c>
      <c r="Z125" s="52">
        <v>1</v>
      </c>
      <c r="AA125" s="52">
        <v>1</v>
      </c>
      <c r="AB125" s="52">
        <v>1</v>
      </c>
      <c r="AC125" s="53">
        <v>1</v>
      </c>
      <c r="AE125" s="51">
        <v>1</v>
      </c>
      <c r="AF125" s="52">
        <v>1</v>
      </c>
      <c r="AG125" s="52">
        <v>1</v>
      </c>
      <c r="AH125" s="52">
        <v>1</v>
      </c>
      <c r="AI125" s="52">
        <v>1</v>
      </c>
      <c r="AJ125" s="52">
        <v>1</v>
      </c>
      <c r="AK125" s="52">
        <v>1</v>
      </c>
      <c r="AL125" s="53">
        <v>1</v>
      </c>
      <c r="AN125" s="51">
        <v>1</v>
      </c>
      <c r="AO125" s="52">
        <v>1</v>
      </c>
      <c r="AP125" s="52">
        <v>1</v>
      </c>
      <c r="AQ125" s="52">
        <v>1</v>
      </c>
      <c r="AR125" s="52">
        <v>1</v>
      </c>
      <c r="AS125" s="52">
        <v>1</v>
      </c>
      <c r="AT125" s="52">
        <v>1</v>
      </c>
      <c r="AU125" s="53">
        <v>1</v>
      </c>
      <c r="AW125" s="51">
        <v>1</v>
      </c>
      <c r="AX125" s="52">
        <v>1</v>
      </c>
      <c r="AY125" s="52">
        <v>1</v>
      </c>
      <c r="AZ125" s="52">
        <v>1</v>
      </c>
      <c r="BA125" s="52">
        <v>1</v>
      </c>
      <c r="BB125" s="52">
        <v>1</v>
      </c>
      <c r="BC125" s="52">
        <v>1</v>
      </c>
      <c r="BD125" s="53">
        <v>1</v>
      </c>
      <c r="BF125" s="51">
        <v>1</v>
      </c>
      <c r="BG125" s="52">
        <v>1</v>
      </c>
      <c r="BH125" s="52">
        <v>1</v>
      </c>
      <c r="BI125" s="52">
        <v>1</v>
      </c>
      <c r="BJ125" s="52">
        <v>1</v>
      </c>
      <c r="BK125" s="52">
        <v>1</v>
      </c>
      <c r="BL125" s="52">
        <v>1</v>
      </c>
      <c r="BM125" s="53">
        <v>1</v>
      </c>
      <c r="BO125" s="51">
        <v>1</v>
      </c>
      <c r="BP125" s="52">
        <v>1</v>
      </c>
      <c r="BQ125" s="52">
        <v>1</v>
      </c>
      <c r="BR125" s="52">
        <v>1</v>
      </c>
      <c r="BS125" s="52">
        <v>1</v>
      </c>
      <c r="BT125" s="52">
        <v>1</v>
      </c>
      <c r="BU125" s="52">
        <v>1</v>
      </c>
      <c r="BV125" s="53">
        <v>1</v>
      </c>
    </row>
    <row r="126" spans="2:74" x14ac:dyDescent="0.2">
      <c r="B126" s="653"/>
      <c r="C126" s="44">
        <v>0.2</v>
      </c>
      <c r="D126" s="54">
        <v>0.79</v>
      </c>
      <c r="E126" s="55">
        <v>0.84</v>
      </c>
      <c r="F126" s="55">
        <v>0.86</v>
      </c>
      <c r="G126" s="55">
        <v>0.85</v>
      </c>
      <c r="H126" s="55">
        <v>0.87</v>
      </c>
      <c r="I126" s="55">
        <v>0.87</v>
      </c>
      <c r="J126" s="55">
        <v>0.87</v>
      </c>
      <c r="K126" s="56">
        <v>0.84</v>
      </c>
      <c r="M126" s="54">
        <v>0.79</v>
      </c>
      <c r="N126" s="55">
        <v>0.84</v>
      </c>
      <c r="O126" s="55">
        <v>0.86</v>
      </c>
      <c r="P126" s="55">
        <v>0.85</v>
      </c>
      <c r="Q126" s="55">
        <v>0.87</v>
      </c>
      <c r="R126" s="55">
        <v>0.87</v>
      </c>
      <c r="S126" s="55">
        <v>0.87</v>
      </c>
      <c r="T126" s="56">
        <v>0.84</v>
      </c>
      <c r="V126" s="54">
        <v>0.79</v>
      </c>
      <c r="W126" s="55">
        <v>0.84</v>
      </c>
      <c r="X126" s="55">
        <v>0.86</v>
      </c>
      <c r="Y126" s="55">
        <v>0.85</v>
      </c>
      <c r="Z126" s="55">
        <v>0.87</v>
      </c>
      <c r="AA126" s="55">
        <v>0.87</v>
      </c>
      <c r="AB126" s="55">
        <v>0.87</v>
      </c>
      <c r="AC126" s="56">
        <v>0.84</v>
      </c>
      <c r="AE126" s="54">
        <v>0.81</v>
      </c>
      <c r="AF126" s="55">
        <v>0.85</v>
      </c>
      <c r="AG126" s="55">
        <v>0.87</v>
      </c>
      <c r="AH126" s="55">
        <v>0.86</v>
      </c>
      <c r="AI126" s="55">
        <v>0.9</v>
      </c>
      <c r="AJ126" s="55">
        <v>0.88</v>
      </c>
      <c r="AK126" s="55">
        <v>0.87</v>
      </c>
      <c r="AL126" s="56">
        <v>0.84</v>
      </c>
      <c r="AN126" s="54">
        <v>0.81</v>
      </c>
      <c r="AO126" s="55">
        <v>0.85</v>
      </c>
      <c r="AP126" s="55">
        <v>0.87</v>
      </c>
      <c r="AQ126" s="55">
        <v>0.86</v>
      </c>
      <c r="AR126" s="55">
        <v>0.9</v>
      </c>
      <c r="AS126" s="55">
        <v>0.88</v>
      </c>
      <c r="AT126" s="55">
        <v>0.87</v>
      </c>
      <c r="AU126" s="56">
        <v>0.84</v>
      </c>
      <c r="AW126" s="54">
        <v>0.82</v>
      </c>
      <c r="AX126" s="55">
        <v>0.86</v>
      </c>
      <c r="AY126" s="55">
        <v>0.87</v>
      </c>
      <c r="AZ126" s="55">
        <v>0.87</v>
      </c>
      <c r="BA126" s="55">
        <v>0.9</v>
      </c>
      <c r="BB126" s="55">
        <v>0.88</v>
      </c>
      <c r="BC126" s="55">
        <v>0.87</v>
      </c>
      <c r="BD126" s="56">
        <v>0.84</v>
      </c>
      <c r="BF126" s="54">
        <v>0.82</v>
      </c>
      <c r="BG126" s="55">
        <v>0.86</v>
      </c>
      <c r="BH126" s="55">
        <v>0.87</v>
      </c>
      <c r="BI126" s="55">
        <v>0.87</v>
      </c>
      <c r="BJ126" s="55">
        <v>0.9</v>
      </c>
      <c r="BK126" s="55">
        <v>0.88</v>
      </c>
      <c r="BL126" s="55">
        <v>0.87</v>
      </c>
      <c r="BM126" s="56">
        <v>0.84</v>
      </c>
      <c r="BO126" s="54">
        <v>0.78</v>
      </c>
      <c r="BP126" s="55">
        <v>0.83</v>
      </c>
      <c r="BQ126" s="55">
        <v>0.86</v>
      </c>
      <c r="BR126" s="55">
        <v>0.85</v>
      </c>
      <c r="BS126" s="55">
        <v>0.87</v>
      </c>
      <c r="BT126" s="55">
        <v>0.86</v>
      </c>
      <c r="BU126" s="55">
        <v>0.86</v>
      </c>
      <c r="BV126" s="56">
        <v>0.83</v>
      </c>
    </row>
    <row r="127" spans="2:74" x14ac:dyDescent="0.2">
      <c r="B127" s="653"/>
      <c r="C127" s="44">
        <v>0.4</v>
      </c>
      <c r="D127" s="54">
        <v>0.56999999999999995</v>
      </c>
      <c r="E127" s="55">
        <v>0.66</v>
      </c>
      <c r="F127" s="55">
        <v>0.71</v>
      </c>
      <c r="G127" s="55">
        <v>0.7</v>
      </c>
      <c r="H127" s="55">
        <v>0.76</v>
      </c>
      <c r="I127" s="55">
        <v>0.73</v>
      </c>
      <c r="J127" s="55">
        <v>0.72</v>
      </c>
      <c r="K127" s="56">
        <v>0.67</v>
      </c>
      <c r="M127" s="54">
        <v>0.56999999999999995</v>
      </c>
      <c r="N127" s="55">
        <v>0.66</v>
      </c>
      <c r="O127" s="55">
        <v>0.71</v>
      </c>
      <c r="P127" s="55">
        <v>0.7</v>
      </c>
      <c r="Q127" s="55">
        <v>0.76</v>
      </c>
      <c r="R127" s="55">
        <v>0.73</v>
      </c>
      <c r="S127" s="55">
        <v>0.72</v>
      </c>
      <c r="T127" s="56">
        <v>0.67</v>
      </c>
      <c r="V127" s="54">
        <v>0.56999999999999995</v>
      </c>
      <c r="W127" s="55">
        <v>0.66</v>
      </c>
      <c r="X127" s="55">
        <v>0.71</v>
      </c>
      <c r="Y127" s="55">
        <v>0.7</v>
      </c>
      <c r="Z127" s="55">
        <v>0.76</v>
      </c>
      <c r="AA127" s="55">
        <v>0.73</v>
      </c>
      <c r="AB127" s="55">
        <v>0.72</v>
      </c>
      <c r="AC127" s="56">
        <v>0.67</v>
      </c>
      <c r="AE127" s="54">
        <v>0.61</v>
      </c>
      <c r="AF127" s="55">
        <v>0.68</v>
      </c>
      <c r="AG127" s="55">
        <v>0.72</v>
      </c>
      <c r="AH127" s="55">
        <v>0.72</v>
      </c>
      <c r="AI127" s="55">
        <v>0.81</v>
      </c>
      <c r="AJ127" s="55">
        <v>0.75</v>
      </c>
      <c r="AK127" s="55">
        <v>0.72</v>
      </c>
      <c r="AL127" s="56">
        <v>0.67</v>
      </c>
      <c r="AN127" s="54">
        <v>0.61</v>
      </c>
      <c r="AO127" s="55">
        <v>0.68</v>
      </c>
      <c r="AP127" s="55">
        <v>0.72</v>
      </c>
      <c r="AQ127" s="55">
        <v>0.72</v>
      </c>
      <c r="AR127" s="55">
        <v>0.81</v>
      </c>
      <c r="AS127" s="55">
        <v>0.75</v>
      </c>
      <c r="AT127" s="55">
        <v>0.72</v>
      </c>
      <c r="AU127" s="56">
        <v>0.67</v>
      </c>
      <c r="AW127" s="54">
        <v>0.63</v>
      </c>
      <c r="AX127" s="55">
        <v>0.69</v>
      </c>
      <c r="AY127" s="55">
        <v>0.72</v>
      </c>
      <c r="AZ127" s="55">
        <v>0.74</v>
      </c>
      <c r="BA127" s="55">
        <v>0.8</v>
      </c>
      <c r="BB127" s="55">
        <v>0.74</v>
      </c>
      <c r="BC127" s="55">
        <v>0.72</v>
      </c>
      <c r="BD127" s="56">
        <v>0.67</v>
      </c>
      <c r="BF127" s="54">
        <v>0.63</v>
      </c>
      <c r="BG127" s="55">
        <v>0.69</v>
      </c>
      <c r="BH127" s="55">
        <v>0.72</v>
      </c>
      <c r="BI127" s="55">
        <v>0.74</v>
      </c>
      <c r="BJ127" s="55">
        <v>0.8</v>
      </c>
      <c r="BK127" s="55">
        <v>0.74</v>
      </c>
      <c r="BL127" s="55">
        <v>0.72</v>
      </c>
      <c r="BM127" s="56">
        <v>0.67</v>
      </c>
      <c r="BO127" s="54">
        <v>0.57999999999999996</v>
      </c>
      <c r="BP127" s="55">
        <v>0.65</v>
      </c>
      <c r="BQ127" s="55">
        <v>0.7</v>
      </c>
      <c r="BR127" s="55">
        <v>0.71</v>
      </c>
      <c r="BS127" s="55">
        <v>0.75</v>
      </c>
      <c r="BT127" s="55">
        <v>0.73</v>
      </c>
      <c r="BU127" s="55">
        <v>0.71</v>
      </c>
      <c r="BV127" s="56">
        <v>0.65</v>
      </c>
    </row>
    <row r="128" spans="2:74" x14ac:dyDescent="0.2">
      <c r="B128" s="653"/>
      <c r="C128" s="44">
        <v>0.6</v>
      </c>
      <c r="D128" s="54">
        <v>0.41</v>
      </c>
      <c r="E128" s="55">
        <v>0.52</v>
      </c>
      <c r="F128" s="55">
        <v>0.57999999999999996</v>
      </c>
      <c r="G128" s="55">
        <v>0.57999999999999996</v>
      </c>
      <c r="H128" s="55">
        <v>0.68</v>
      </c>
      <c r="I128" s="55">
        <v>0.62</v>
      </c>
      <c r="J128" s="55">
        <v>0.6</v>
      </c>
      <c r="K128" s="56">
        <v>0.53</v>
      </c>
      <c r="M128" s="54">
        <v>0.41</v>
      </c>
      <c r="N128" s="55">
        <v>0.52</v>
      </c>
      <c r="O128" s="55">
        <v>0.57999999999999996</v>
      </c>
      <c r="P128" s="55">
        <v>0.57999999999999996</v>
      </c>
      <c r="Q128" s="55">
        <v>0.68</v>
      </c>
      <c r="R128" s="55">
        <v>0.62</v>
      </c>
      <c r="S128" s="55">
        <v>0.6</v>
      </c>
      <c r="T128" s="56">
        <v>0.53</v>
      </c>
      <c r="V128" s="54">
        <v>0.41</v>
      </c>
      <c r="W128" s="55">
        <v>0.52</v>
      </c>
      <c r="X128" s="55">
        <v>0.57999999999999996</v>
      </c>
      <c r="Y128" s="55">
        <v>0.57999999999999996</v>
      </c>
      <c r="Z128" s="55">
        <v>0.68</v>
      </c>
      <c r="AA128" s="55">
        <v>0.62</v>
      </c>
      <c r="AB128" s="55">
        <v>0.6</v>
      </c>
      <c r="AC128" s="56">
        <v>0.53</v>
      </c>
      <c r="AE128" s="54">
        <v>0.46</v>
      </c>
      <c r="AF128" s="55">
        <v>0.54</v>
      </c>
      <c r="AG128" s="55">
        <v>0.59</v>
      </c>
      <c r="AH128" s="55">
        <v>0.61</v>
      </c>
      <c r="AI128" s="55">
        <v>0.74</v>
      </c>
      <c r="AJ128" s="55">
        <v>0.64</v>
      </c>
      <c r="AK128" s="55">
        <v>0.6</v>
      </c>
      <c r="AL128" s="56">
        <v>0.53</v>
      </c>
      <c r="AN128" s="54">
        <v>0.46</v>
      </c>
      <c r="AO128" s="55">
        <v>0.54</v>
      </c>
      <c r="AP128" s="55">
        <v>0.59</v>
      </c>
      <c r="AQ128" s="55">
        <v>0.61</v>
      </c>
      <c r="AR128" s="55">
        <v>0.74</v>
      </c>
      <c r="AS128" s="55">
        <v>0.64</v>
      </c>
      <c r="AT128" s="55">
        <v>0.6</v>
      </c>
      <c r="AU128" s="56">
        <v>0.53</v>
      </c>
      <c r="AW128" s="54">
        <v>0.49</v>
      </c>
      <c r="AX128" s="55">
        <v>0.56000000000000005</v>
      </c>
      <c r="AY128" s="55">
        <v>0.6</v>
      </c>
      <c r="AZ128" s="55">
        <v>0.64</v>
      </c>
      <c r="BA128" s="55">
        <v>0.73</v>
      </c>
      <c r="BB128" s="55">
        <v>0.64</v>
      </c>
      <c r="BC128" s="55">
        <v>0.61</v>
      </c>
      <c r="BD128" s="56">
        <v>0.54</v>
      </c>
      <c r="BF128" s="54">
        <v>0.49</v>
      </c>
      <c r="BG128" s="55">
        <v>0.56000000000000005</v>
      </c>
      <c r="BH128" s="55">
        <v>0.6</v>
      </c>
      <c r="BI128" s="55">
        <v>0.64</v>
      </c>
      <c r="BJ128" s="55">
        <v>0.73</v>
      </c>
      <c r="BK128" s="55">
        <v>0.64</v>
      </c>
      <c r="BL128" s="55">
        <v>0.61</v>
      </c>
      <c r="BM128" s="56">
        <v>0.54</v>
      </c>
      <c r="BO128" s="54">
        <v>0.47</v>
      </c>
      <c r="BP128" s="55">
        <v>0.52</v>
      </c>
      <c r="BQ128" s="55">
        <v>0.57999999999999996</v>
      </c>
      <c r="BR128" s="55">
        <v>0.61</v>
      </c>
      <c r="BS128" s="55">
        <v>0.67</v>
      </c>
      <c r="BT128" s="55">
        <v>0.63</v>
      </c>
      <c r="BU128" s="55">
        <v>0.6</v>
      </c>
      <c r="BV128" s="56">
        <v>0.53</v>
      </c>
    </row>
    <row r="129" spans="2:74" x14ac:dyDescent="0.2">
      <c r="B129" s="653"/>
      <c r="C129" s="44">
        <v>0.8</v>
      </c>
      <c r="D129" s="54">
        <v>0.32</v>
      </c>
      <c r="E129" s="55">
        <v>0.4</v>
      </c>
      <c r="F129" s="55">
        <v>0.47</v>
      </c>
      <c r="G129" s="55">
        <v>0.48</v>
      </c>
      <c r="H129" s="55">
        <v>0.62</v>
      </c>
      <c r="I129" s="55">
        <v>0.54</v>
      </c>
      <c r="J129" s="55">
        <v>0.5</v>
      </c>
      <c r="K129" s="56">
        <v>0.43</v>
      </c>
      <c r="M129" s="54">
        <v>0.32</v>
      </c>
      <c r="N129" s="55">
        <v>0.4</v>
      </c>
      <c r="O129" s="55">
        <v>0.47</v>
      </c>
      <c r="P129" s="55">
        <v>0.48</v>
      </c>
      <c r="Q129" s="55">
        <v>0.62</v>
      </c>
      <c r="R129" s="55">
        <v>0.54</v>
      </c>
      <c r="S129" s="55">
        <v>0.5</v>
      </c>
      <c r="T129" s="56">
        <v>0.43</v>
      </c>
      <c r="V129" s="54">
        <v>0.32</v>
      </c>
      <c r="W129" s="55">
        <v>0.4</v>
      </c>
      <c r="X129" s="55">
        <v>0.47</v>
      </c>
      <c r="Y129" s="55">
        <v>0.48</v>
      </c>
      <c r="Z129" s="55">
        <v>0.62</v>
      </c>
      <c r="AA129" s="55">
        <v>0.54</v>
      </c>
      <c r="AB129" s="55">
        <v>0.5</v>
      </c>
      <c r="AC129" s="56">
        <v>0.43</v>
      </c>
      <c r="AE129" s="54">
        <v>0.35</v>
      </c>
      <c r="AF129" s="55">
        <v>0.42</v>
      </c>
      <c r="AG129" s="55">
        <v>0.49</v>
      </c>
      <c r="AH129" s="55">
        <v>0.53</v>
      </c>
      <c r="AI129" s="55">
        <v>0.68</v>
      </c>
      <c r="AJ129" s="55">
        <v>0.56999999999999995</v>
      </c>
      <c r="AK129" s="55">
        <v>0.51</v>
      </c>
      <c r="AL129" s="56">
        <v>0.42</v>
      </c>
      <c r="AN129" s="54">
        <v>0.35</v>
      </c>
      <c r="AO129" s="55">
        <v>0.42</v>
      </c>
      <c r="AP129" s="55">
        <v>0.49</v>
      </c>
      <c r="AQ129" s="55">
        <v>0.53</v>
      </c>
      <c r="AR129" s="55">
        <v>0.68</v>
      </c>
      <c r="AS129" s="55">
        <v>0.56999999999999995</v>
      </c>
      <c r="AT129" s="55">
        <v>0.51</v>
      </c>
      <c r="AU129" s="56">
        <v>0.42</v>
      </c>
      <c r="AW129" s="54">
        <v>0.4</v>
      </c>
      <c r="AX129" s="55">
        <v>0.46</v>
      </c>
      <c r="AY129" s="55">
        <v>0.51</v>
      </c>
      <c r="AZ129" s="55">
        <v>0.56000000000000005</v>
      </c>
      <c r="BA129" s="55">
        <v>0.68</v>
      </c>
      <c r="BB129" s="55">
        <v>0.56999999999999995</v>
      </c>
      <c r="BC129" s="55">
        <v>0.52</v>
      </c>
      <c r="BD129" s="56">
        <v>0.44</v>
      </c>
      <c r="BF129" s="54">
        <v>0.4</v>
      </c>
      <c r="BG129" s="55">
        <v>0.46</v>
      </c>
      <c r="BH129" s="55">
        <v>0.51</v>
      </c>
      <c r="BI129" s="55">
        <v>0.56000000000000005</v>
      </c>
      <c r="BJ129" s="55">
        <v>0.68</v>
      </c>
      <c r="BK129" s="55">
        <v>0.56999999999999995</v>
      </c>
      <c r="BL129" s="55">
        <v>0.52</v>
      </c>
      <c r="BM129" s="56">
        <v>0.44</v>
      </c>
      <c r="BO129" s="54">
        <v>0.43</v>
      </c>
      <c r="BP129" s="55">
        <v>0.44</v>
      </c>
      <c r="BQ129" s="55">
        <v>0.49</v>
      </c>
      <c r="BR129" s="55">
        <v>0.54</v>
      </c>
      <c r="BS129" s="55">
        <v>0.62</v>
      </c>
      <c r="BT129" s="55">
        <v>0.56000000000000005</v>
      </c>
      <c r="BU129" s="55">
        <v>0.52</v>
      </c>
      <c r="BV129" s="56">
        <v>0.45</v>
      </c>
    </row>
    <row r="130" spans="2:74" x14ac:dyDescent="0.2">
      <c r="B130" s="653"/>
      <c r="C130" s="44">
        <v>1</v>
      </c>
      <c r="D130" s="54">
        <v>0.26</v>
      </c>
      <c r="E130" s="55">
        <v>0.32</v>
      </c>
      <c r="F130" s="55">
        <v>0.39</v>
      </c>
      <c r="G130" s="55">
        <v>0.42</v>
      </c>
      <c r="H130" s="55">
        <v>0.57999999999999996</v>
      </c>
      <c r="I130" s="55">
        <v>0.48</v>
      </c>
      <c r="J130" s="55">
        <v>0.43</v>
      </c>
      <c r="K130" s="56">
        <v>0.35</v>
      </c>
      <c r="M130" s="54">
        <v>0.26</v>
      </c>
      <c r="N130" s="55">
        <v>0.32</v>
      </c>
      <c r="O130" s="55">
        <v>0.39</v>
      </c>
      <c r="P130" s="55">
        <v>0.42</v>
      </c>
      <c r="Q130" s="55">
        <v>0.57999999999999996</v>
      </c>
      <c r="R130" s="55">
        <v>0.48</v>
      </c>
      <c r="S130" s="55">
        <v>0.43</v>
      </c>
      <c r="T130" s="56">
        <v>0.35</v>
      </c>
      <c r="V130" s="54">
        <v>0.26</v>
      </c>
      <c r="W130" s="55">
        <v>0.32</v>
      </c>
      <c r="X130" s="55">
        <v>0.39</v>
      </c>
      <c r="Y130" s="55">
        <v>0.42</v>
      </c>
      <c r="Z130" s="55">
        <v>0.57999999999999996</v>
      </c>
      <c r="AA130" s="55">
        <v>0.48</v>
      </c>
      <c r="AB130" s="55">
        <v>0.43</v>
      </c>
      <c r="AC130" s="56">
        <v>0.35</v>
      </c>
      <c r="AE130" s="54">
        <v>0.28000000000000003</v>
      </c>
      <c r="AF130" s="55">
        <v>0.34</v>
      </c>
      <c r="AG130" s="55">
        <v>0.42</v>
      </c>
      <c r="AH130" s="55">
        <v>0.47</v>
      </c>
      <c r="AI130" s="55">
        <v>0.64</v>
      </c>
      <c r="AJ130" s="55">
        <v>0.5</v>
      </c>
      <c r="AK130" s="55">
        <v>0.44</v>
      </c>
      <c r="AL130" s="56">
        <v>0.34</v>
      </c>
      <c r="AN130" s="54">
        <v>0.28000000000000003</v>
      </c>
      <c r="AO130" s="55">
        <v>0.34</v>
      </c>
      <c r="AP130" s="55">
        <v>0.42</v>
      </c>
      <c r="AQ130" s="55">
        <v>0.47</v>
      </c>
      <c r="AR130" s="55">
        <v>0.64</v>
      </c>
      <c r="AS130" s="55">
        <v>0.5</v>
      </c>
      <c r="AT130" s="55">
        <v>0.44</v>
      </c>
      <c r="AU130" s="56">
        <v>0.34</v>
      </c>
      <c r="AW130" s="54">
        <v>0.35</v>
      </c>
      <c r="AX130" s="55">
        <v>0.38</v>
      </c>
      <c r="AY130" s="55">
        <v>0.44</v>
      </c>
      <c r="AZ130" s="55">
        <v>0.51</v>
      </c>
      <c r="BA130" s="55">
        <v>0.64</v>
      </c>
      <c r="BB130" s="55">
        <v>0.51</v>
      </c>
      <c r="BC130" s="55">
        <v>0.45</v>
      </c>
      <c r="BD130" s="56">
        <v>0.38</v>
      </c>
      <c r="BF130" s="54">
        <v>0.35</v>
      </c>
      <c r="BG130" s="55">
        <v>0.38</v>
      </c>
      <c r="BH130" s="55">
        <v>0.44</v>
      </c>
      <c r="BI130" s="55">
        <v>0.51</v>
      </c>
      <c r="BJ130" s="55">
        <v>0.64</v>
      </c>
      <c r="BK130" s="55">
        <v>0.51</v>
      </c>
      <c r="BL130" s="55">
        <v>0.45</v>
      </c>
      <c r="BM130" s="56">
        <v>0.38</v>
      </c>
      <c r="BO130" s="54">
        <v>0.42</v>
      </c>
      <c r="BP130" s="55">
        <v>0.4</v>
      </c>
      <c r="BQ130" s="55">
        <v>0.44</v>
      </c>
      <c r="BR130" s="55">
        <v>0.5</v>
      </c>
      <c r="BS130" s="55">
        <v>0.59</v>
      </c>
      <c r="BT130" s="55">
        <v>0.51</v>
      </c>
      <c r="BU130" s="55">
        <v>0.47</v>
      </c>
      <c r="BV130" s="56">
        <v>0.41</v>
      </c>
    </row>
    <row r="131" spans="2:74" x14ac:dyDescent="0.2">
      <c r="B131" s="653"/>
      <c r="C131" s="44">
        <v>1.2</v>
      </c>
      <c r="D131" s="54">
        <v>0.22</v>
      </c>
      <c r="E131" s="55">
        <v>0.28000000000000003</v>
      </c>
      <c r="F131" s="55">
        <v>0.33</v>
      </c>
      <c r="G131" s="55">
        <v>0.38</v>
      </c>
      <c r="H131" s="55">
        <v>0.56000000000000005</v>
      </c>
      <c r="I131" s="55">
        <v>0.43</v>
      </c>
      <c r="J131" s="55">
        <v>0.37</v>
      </c>
      <c r="K131" s="56">
        <v>0.3</v>
      </c>
      <c r="M131" s="54">
        <v>0.22</v>
      </c>
      <c r="N131" s="55">
        <v>0.28000000000000003</v>
      </c>
      <c r="O131" s="55">
        <v>0.33</v>
      </c>
      <c r="P131" s="55">
        <v>0.38</v>
      </c>
      <c r="Q131" s="55">
        <v>0.56000000000000005</v>
      </c>
      <c r="R131" s="55">
        <v>0.43</v>
      </c>
      <c r="S131" s="55">
        <v>0.37</v>
      </c>
      <c r="T131" s="56">
        <v>0.3</v>
      </c>
      <c r="V131" s="54">
        <v>0.22</v>
      </c>
      <c r="W131" s="55">
        <v>0.28000000000000003</v>
      </c>
      <c r="X131" s="55">
        <v>0.33</v>
      </c>
      <c r="Y131" s="55">
        <v>0.38</v>
      </c>
      <c r="Z131" s="55">
        <v>0.56000000000000005</v>
      </c>
      <c r="AA131" s="55">
        <v>0.43</v>
      </c>
      <c r="AB131" s="55">
        <v>0.37</v>
      </c>
      <c r="AC131" s="56">
        <v>0.3</v>
      </c>
      <c r="AE131" s="54">
        <v>0.24</v>
      </c>
      <c r="AF131" s="55">
        <v>0.28999999999999998</v>
      </c>
      <c r="AG131" s="55">
        <v>0.37</v>
      </c>
      <c r="AH131" s="55">
        <v>0.43</v>
      </c>
      <c r="AI131" s="55">
        <v>0.62</v>
      </c>
      <c r="AJ131" s="55">
        <v>0.46</v>
      </c>
      <c r="AK131" s="55">
        <v>0.38</v>
      </c>
      <c r="AL131" s="56">
        <v>0.28999999999999998</v>
      </c>
      <c r="AN131" s="54">
        <v>0.24</v>
      </c>
      <c r="AO131" s="55">
        <v>0.28999999999999998</v>
      </c>
      <c r="AP131" s="55">
        <v>0.37</v>
      </c>
      <c r="AQ131" s="55">
        <v>0.43</v>
      </c>
      <c r="AR131" s="55">
        <v>0.62</v>
      </c>
      <c r="AS131" s="55">
        <v>0.46</v>
      </c>
      <c r="AT131" s="55">
        <v>0.38</v>
      </c>
      <c r="AU131" s="56">
        <v>0.28999999999999998</v>
      </c>
      <c r="AW131" s="54">
        <v>0.32</v>
      </c>
      <c r="AX131" s="55">
        <v>0.34</v>
      </c>
      <c r="AY131" s="55">
        <v>0.39</v>
      </c>
      <c r="AZ131" s="55">
        <v>0.48</v>
      </c>
      <c r="BA131" s="55">
        <v>0.61</v>
      </c>
      <c r="BB131" s="55">
        <v>0.47</v>
      </c>
      <c r="BC131" s="55">
        <v>0.41</v>
      </c>
      <c r="BD131" s="56">
        <v>0.35</v>
      </c>
      <c r="BF131" s="54">
        <v>0.32</v>
      </c>
      <c r="BG131" s="55">
        <v>0.34</v>
      </c>
      <c r="BH131" s="55">
        <v>0.39</v>
      </c>
      <c r="BI131" s="55">
        <v>0.48</v>
      </c>
      <c r="BJ131" s="55">
        <v>0.61</v>
      </c>
      <c r="BK131" s="55">
        <v>0.47</v>
      </c>
      <c r="BL131" s="55">
        <v>0.41</v>
      </c>
      <c r="BM131" s="56">
        <v>0.35</v>
      </c>
      <c r="BO131" s="54">
        <v>0.41</v>
      </c>
      <c r="BP131" s="55">
        <v>0.39</v>
      </c>
      <c r="BQ131" s="55">
        <v>0.41</v>
      </c>
      <c r="BR131" s="55">
        <v>0.48</v>
      </c>
      <c r="BS131" s="55">
        <v>0.56999999999999995</v>
      </c>
      <c r="BT131" s="55">
        <v>0.48</v>
      </c>
      <c r="BU131" s="55">
        <v>0.43</v>
      </c>
      <c r="BV131" s="56">
        <v>0.39</v>
      </c>
    </row>
    <row r="132" spans="2:74" x14ac:dyDescent="0.2">
      <c r="B132" s="653"/>
      <c r="C132" s="44">
        <v>1.4</v>
      </c>
      <c r="D132" s="54">
        <v>0.2</v>
      </c>
      <c r="E132" s="55">
        <v>0.24</v>
      </c>
      <c r="F132" s="55">
        <v>0.28999999999999998</v>
      </c>
      <c r="G132" s="55">
        <v>0.34</v>
      </c>
      <c r="H132" s="55">
        <v>0.53</v>
      </c>
      <c r="I132" s="55">
        <v>0.39</v>
      </c>
      <c r="J132" s="55">
        <v>0.33</v>
      </c>
      <c r="K132" s="56">
        <v>0.25</v>
      </c>
      <c r="M132" s="54">
        <v>0.2</v>
      </c>
      <c r="N132" s="55">
        <v>0.24</v>
      </c>
      <c r="O132" s="55">
        <v>0.28999999999999998</v>
      </c>
      <c r="P132" s="55">
        <v>0.34</v>
      </c>
      <c r="Q132" s="55">
        <v>0.53</v>
      </c>
      <c r="R132" s="55">
        <v>0.39</v>
      </c>
      <c r="S132" s="55">
        <v>0.33</v>
      </c>
      <c r="T132" s="56">
        <v>0.25</v>
      </c>
      <c r="V132" s="54">
        <v>0.2</v>
      </c>
      <c r="W132" s="55">
        <v>0.24</v>
      </c>
      <c r="X132" s="55">
        <v>0.28999999999999998</v>
      </c>
      <c r="Y132" s="55">
        <v>0.34</v>
      </c>
      <c r="Z132" s="55">
        <v>0.53</v>
      </c>
      <c r="AA132" s="55">
        <v>0.39</v>
      </c>
      <c r="AB132" s="55">
        <v>0.33</v>
      </c>
      <c r="AC132" s="56">
        <v>0.25</v>
      </c>
      <c r="AE132" s="54">
        <v>0.22</v>
      </c>
      <c r="AF132" s="55">
        <v>0.26</v>
      </c>
      <c r="AG132" s="55">
        <v>0.33</v>
      </c>
      <c r="AH132" s="55">
        <v>0.39</v>
      </c>
      <c r="AI132" s="55">
        <v>0.59</v>
      </c>
      <c r="AJ132" s="55">
        <v>0.42</v>
      </c>
      <c r="AK132" s="55">
        <v>0.34</v>
      </c>
      <c r="AL132" s="56">
        <v>0.26</v>
      </c>
      <c r="AN132" s="54">
        <v>0.22</v>
      </c>
      <c r="AO132" s="55">
        <v>0.26</v>
      </c>
      <c r="AP132" s="55">
        <v>0.33</v>
      </c>
      <c r="AQ132" s="55">
        <v>0.39</v>
      </c>
      <c r="AR132" s="55">
        <v>0.59</v>
      </c>
      <c r="AS132" s="55">
        <v>0.42</v>
      </c>
      <c r="AT132" s="55">
        <v>0.34</v>
      </c>
      <c r="AU132" s="56">
        <v>0.26</v>
      </c>
      <c r="AW132" s="54">
        <v>0.31</v>
      </c>
      <c r="AX132" s="55">
        <v>0.32</v>
      </c>
      <c r="AY132" s="55">
        <v>0.36</v>
      </c>
      <c r="AZ132" s="55">
        <v>0.45</v>
      </c>
      <c r="BA132" s="55">
        <v>0.59</v>
      </c>
      <c r="BB132" s="55">
        <v>0.44</v>
      </c>
      <c r="BC132" s="55">
        <v>0.37</v>
      </c>
      <c r="BD132" s="56">
        <v>0.32</v>
      </c>
      <c r="BF132" s="54">
        <v>0.31</v>
      </c>
      <c r="BG132" s="55">
        <v>0.32</v>
      </c>
      <c r="BH132" s="55">
        <v>0.36</v>
      </c>
      <c r="BI132" s="55">
        <v>0.45</v>
      </c>
      <c r="BJ132" s="55">
        <v>0.59</v>
      </c>
      <c r="BK132" s="55">
        <v>0.44</v>
      </c>
      <c r="BL132" s="55">
        <v>0.37</v>
      </c>
      <c r="BM132" s="56">
        <v>0.32</v>
      </c>
      <c r="BO132" s="54">
        <v>0.41</v>
      </c>
      <c r="BP132" s="55">
        <v>0.38</v>
      </c>
      <c r="BQ132" s="55">
        <v>0.39</v>
      </c>
      <c r="BR132" s="55">
        <v>0.46</v>
      </c>
      <c r="BS132" s="55">
        <v>0.56000000000000005</v>
      </c>
      <c r="BT132" s="55">
        <v>0.46</v>
      </c>
      <c r="BU132" s="55">
        <v>0.4</v>
      </c>
      <c r="BV132" s="56">
        <v>0.38</v>
      </c>
    </row>
    <row r="133" spans="2:74" x14ac:dyDescent="0.2">
      <c r="B133" s="653"/>
      <c r="C133" s="44">
        <v>1.6</v>
      </c>
      <c r="D133" s="54">
        <v>0.19</v>
      </c>
      <c r="E133" s="55">
        <v>0.22</v>
      </c>
      <c r="F133" s="55">
        <v>0.26</v>
      </c>
      <c r="G133" s="55">
        <v>0.32</v>
      </c>
      <c r="H133" s="55">
        <v>0.52</v>
      </c>
      <c r="I133" s="55">
        <v>0.36</v>
      </c>
      <c r="J133" s="55">
        <v>0.28999999999999998</v>
      </c>
      <c r="K133" s="56">
        <v>0.22</v>
      </c>
      <c r="M133" s="54">
        <v>0.19</v>
      </c>
      <c r="N133" s="55">
        <v>0.22</v>
      </c>
      <c r="O133" s="55">
        <v>0.26</v>
      </c>
      <c r="P133" s="55">
        <v>0.32</v>
      </c>
      <c r="Q133" s="55">
        <v>0.52</v>
      </c>
      <c r="R133" s="55">
        <v>0.36</v>
      </c>
      <c r="S133" s="55">
        <v>0.28999999999999998</v>
      </c>
      <c r="T133" s="56">
        <v>0.22</v>
      </c>
      <c r="V133" s="54">
        <v>0.19</v>
      </c>
      <c r="W133" s="55">
        <v>0.22</v>
      </c>
      <c r="X133" s="55">
        <v>0.26</v>
      </c>
      <c r="Y133" s="55">
        <v>0.32</v>
      </c>
      <c r="Z133" s="55">
        <v>0.52</v>
      </c>
      <c r="AA133" s="55">
        <v>0.36</v>
      </c>
      <c r="AB133" s="55">
        <v>0.28999999999999998</v>
      </c>
      <c r="AC133" s="56">
        <v>0.22</v>
      </c>
      <c r="AE133" s="54">
        <v>0.2</v>
      </c>
      <c r="AF133" s="55">
        <v>0.23</v>
      </c>
      <c r="AG133" s="55">
        <v>0.3</v>
      </c>
      <c r="AH133" s="55">
        <v>0.36</v>
      </c>
      <c r="AI133" s="55">
        <v>0.56999999999999995</v>
      </c>
      <c r="AJ133" s="55">
        <v>0.39</v>
      </c>
      <c r="AK133" s="55">
        <v>0.31</v>
      </c>
      <c r="AL133" s="56">
        <v>0.24</v>
      </c>
      <c r="AN133" s="54">
        <v>0.2</v>
      </c>
      <c r="AO133" s="55">
        <v>0.23</v>
      </c>
      <c r="AP133" s="55">
        <v>0.3</v>
      </c>
      <c r="AQ133" s="55">
        <v>0.36</v>
      </c>
      <c r="AR133" s="55">
        <v>0.56999999999999995</v>
      </c>
      <c r="AS133" s="55">
        <v>0.39</v>
      </c>
      <c r="AT133" s="55">
        <v>0.31</v>
      </c>
      <c r="AU133" s="56">
        <v>0.24</v>
      </c>
      <c r="AW133" s="54">
        <v>0.3</v>
      </c>
      <c r="AX133" s="55">
        <v>0.3</v>
      </c>
      <c r="AY133" s="55">
        <v>0.33</v>
      </c>
      <c r="AZ133" s="55">
        <v>0.42</v>
      </c>
      <c r="BA133" s="55">
        <v>0.56999999999999995</v>
      </c>
      <c r="BB133" s="55">
        <v>0.42</v>
      </c>
      <c r="BC133" s="55">
        <v>0.34</v>
      </c>
      <c r="BD133" s="56">
        <v>0.31</v>
      </c>
      <c r="BF133" s="54">
        <v>0.3</v>
      </c>
      <c r="BG133" s="55">
        <v>0.3</v>
      </c>
      <c r="BH133" s="55">
        <v>0.33</v>
      </c>
      <c r="BI133" s="55">
        <v>0.42</v>
      </c>
      <c r="BJ133" s="55">
        <v>0.56999999999999995</v>
      </c>
      <c r="BK133" s="55">
        <v>0.42</v>
      </c>
      <c r="BL133" s="55">
        <v>0.34</v>
      </c>
      <c r="BM133" s="56">
        <v>0.31</v>
      </c>
      <c r="BO133" s="54">
        <v>0.4</v>
      </c>
      <c r="BP133" s="55">
        <v>0.37</v>
      </c>
      <c r="BQ133" s="55">
        <v>0.37</v>
      </c>
      <c r="BR133" s="55">
        <v>0.45</v>
      </c>
      <c r="BS133" s="55">
        <v>0.55000000000000004</v>
      </c>
      <c r="BT133" s="55">
        <v>0.45</v>
      </c>
      <c r="BU133" s="55">
        <v>0.39</v>
      </c>
      <c r="BV133" s="56">
        <v>0.37</v>
      </c>
    </row>
    <row r="134" spans="2:74" x14ac:dyDescent="0.2">
      <c r="B134" s="653"/>
      <c r="C134" s="44">
        <v>1.8</v>
      </c>
      <c r="D134" s="54">
        <v>0.18</v>
      </c>
      <c r="E134" s="55">
        <v>0.2</v>
      </c>
      <c r="F134" s="55">
        <v>0.23</v>
      </c>
      <c r="G134" s="55">
        <v>0.3</v>
      </c>
      <c r="H134" s="55">
        <v>0.5</v>
      </c>
      <c r="I134" s="55">
        <v>0.33</v>
      </c>
      <c r="J134" s="55">
        <v>0.26</v>
      </c>
      <c r="K134" s="56">
        <v>0.2</v>
      </c>
      <c r="M134" s="54">
        <v>0.18</v>
      </c>
      <c r="N134" s="55">
        <v>0.2</v>
      </c>
      <c r="O134" s="55">
        <v>0.23</v>
      </c>
      <c r="P134" s="55">
        <v>0.3</v>
      </c>
      <c r="Q134" s="55">
        <v>0.5</v>
      </c>
      <c r="R134" s="55">
        <v>0.33</v>
      </c>
      <c r="S134" s="55">
        <v>0.26</v>
      </c>
      <c r="T134" s="56">
        <v>0.2</v>
      </c>
      <c r="V134" s="54">
        <v>0.18</v>
      </c>
      <c r="W134" s="55">
        <v>0.2</v>
      </c>
      <c r="X134" s="55">
        <v>0.23</v>
      </c>
      <c r="Y134" s="55">
        <v>0.3</v>
      </c>
      <c r="Z134" s="55">
        <v>0.5</v>
      </c>
      <c r="AA134" s="55">
        <v>0.33</v>
      </c>
      <c r="AB134" s="55">
        <v>0.26</v>
      </c>
      <c r="AC134" s="56">
        <v>0.2</v>
      </c>
      <c r="AE134" s="54">
        <v>0.2</v>
      </c>
      <c r="AF134" s="55">
        <v>0.21</v>
      </c>
      <c r="AG134" s="55">
        <v>0.27</v>
      </c>
      <c r="AH134" s="55">
        <v>0.34</v>
      </c>
      <c r="AI134" s="55">
        <v>0.56000000000000005</v>
      </c>
      <c r="AJ134" s="55">
        <v>0.37</v>
      </c>
      <c r="AK134" s="55">
        <v>0.28999999999999998</v>
      </c>
      <c r="AL134" s="56">
        <v>0.22</v>
      </c>
      <c r="AN134" s="54">
        <v>0.2</v>
      </c>
      <c r="AO134" s="55">
        <v>0.21</v>
      </c>
      <c r="AP134" s="55">
        <v>0.27</v>
      </c>
      <c r="AQ134" s="55">
        <v>0.34</v>
      </c>
      <c r="AR134" s="55">
        <v>0.56000000000000005</v>
      </c>
      <c r="AS134" s="55">
        <v>0.37</v>
      </c>
      <c r="AT134" s="55">
        <v>0.28999999999999998</v>
      </c>
      <c r="AU134" s="56">
        <v>0.22</v>
      </c>
      <c r="AW134" s="54">
        <v>0.3</v>
      </c>
      <c r="AX134" s="55">
        <v>0.28999999999999998</v>
      </c>
      <c r="AY134" s="55">
        <v>0.31</v>
      </c>
      <c r="AZ134" s="55">
        <v>0.41</v>
      </c>
      <c r="BA134" s="55">
        <v>0.56000000000000005</v>
      </c>
      <c r="BB134" s="55">
        <v>0.4</v>
      </c>
      <c r="BC134" s="55">
        <v>0.32</v>
      </c>
      <c r="BD134" s="56">
        <v>0.3</v>
      </c>
      <c r="BF134" s="54">
        <v>0.3</v>
      </c>
      <c r="BG134" s="55">
        <v>0.28999999999999998</v>
      </c>
      <c r="BH134" s="55">
        <v>0.31</v>
      </c>
      <c r="BI134" s="55">
        <v>0.41</v>
      </c>
      <c r="BJ134" s="55">
        <v>0.56000000000000005</v>
      </c>
      <c r="BK134" s="55">
        <v>0.4</v>
      </c>
      <c r="BL134" s="55">
        <v>0.32</v>
      </c>
      <c r="BM134" s="56">
        <v>0.3</v>
      </c>
      <c r="BO134" s="54">
        <v>0.4</v>
      </c>
      <c r="BP134" s="55">
        <v>0.37</v>
      </c>
      <c r="BQ134" s="55">
        <v>0.36</v>
      </c>
      <c r="BR134" s="55">
        <v>0.44</v>
      </c>
      <c r="BS134" s="55">
        <v>0.54</v>
      </c>
      <c r="BT134" s="55">
        <v>0.44</v>
      </c>
      <c r="BU134" s="55">
        <v>0.38</v>
      </c>
      <c r="BV134" s="56">
        <v>0.37</v>
      </c>
    </row>
    <row r="135" spans="2:74" x14ac:dyDescent="0.2">
      <c r="B135" s="654"/>
      <c r="C135" s="45">
        <v>2</v>
      </c>
      <c r="D135" s="57">
        <v>0.17</v>
      </c>
      <c r="E135" s="58">
        <v>0.18</v>
      </c>
      <c r="F135" s="58">
        <v>0.21</v>
      </c>
      <c r="G135" s="58">
        <v>0.28000000000000003</v>
      </c>
      <c r="H135" s="58">
        <v>0.49</v>
      </c>
      <c r="I135" s="58">
        <v>0.31</v>
      </c>
      <c r="J135" s="58">
        <v>0.24</v>
      </c>
      <c r="K135" s="59">
        <v>0.18</v>
      </c>
      <c r="M135" s="57">
        <v>0.17</v>
      </c>
      <c r="N135" s="58">
        <v>0.18</v>
      </c>
      <c r="O135" s="58">
        <v>0.21</v>
      </c>
      <c r="P135" s="58">
        <v>0.28000000000000003</v>
      </c>
      <c r="Q135" s="58">
        <v>0.49</v>
      </c>
      <c r="R135" s="58">
        <v>0.31</v>
      </c>
      <c r="S135" s="58">
        <v>0.24</v>
      </c>
      <c r="T135" s="59">
        <v>0.18</v>
      </c>
      <c r="V135" s="57">
        <v>0.17</v>
      </c>
      <c r="W135" s="58">
        <v>0.18</v>
      </c>
      <c r="X135" s="58">
        <v>0.21</v>
      </c>
      <c r="Y135" s="58">
        <v>0.28000000000000003</v>
      </c>
      <c r="Z135" s="58">
        <v>0.49</v>
      </c>
      <c r="AA135" s="58">
        <v>0.31</v>
      </c>
      <c r="AB135" s="58">
        <v>0.24</v>
      </c>
      <c r="AC135" s="59">
        <v>0.18</v>
      </c>
      <c r="AE135" s="57">
        <v>0.19</v>
      </c>
      <c r="AF135" s="58">
        <v>0.2</v>
      </c>
      <c r="AG135" s="58">
        <v>0.25</v>
      </c>
      <c r="AH135" s="58">
        <v>0.32</v>
      </c>
      <c r="AI135" s="58">
        <v>0.54</v>
      </c>
      <c r="AJ135" s="58">
        <v>0.34</v>
      </c>
      <c r="AK135" s="58">
        <v>0.26</v>
      </c>
      <c r="AL135" s="59">
        <v>0.21</v>
      </c>
      <c r="AN135" s="57">
        <v>0.19</v>
      </c>
      <c r="AO135" s="58">
        <v>0.2</v>
      </c>
      <c r="AP135" s="58">
        <v>0.25</v>
      </c>
      <c r="AQ135" s="58">
        <v>0.32</v>
      </c>
      <c r="AR135" s="58">
        <v>0.54</v>
      </c>
      <c r="AS135" s="58">
        <v>0.34</v>
      </c>
      <c r="AT135" s="58">
        <v>0.26</v>
      </c>
      <c r="AU135" s="59">
        <v>0.21</v>
      </c>
      <c r="AW135" s="57">
        <v>0.3</v>
      </c>
      <c r="AX135" s="58">
        <v>0.28000000000000003</v>
      </c>
      <c r="AY135" s="58">
        <v>0.28999999999999998</v>
      </c>
      <c r="AZ135" s="58">
        <v>0.39</v>
      </c>
      <c r="BA135" s="58">
        <v>0.55000000000000004</v>
      </c>
      <c r="BB135" s="58">
        <v>0.38</v>
      </c>
      <c r="BC135" s="58">
        <v>0.31</v>
      </c>
      <c r="BD135" s="59">
        <v>0.28999999999999998</v>
      </c>
      <c r="BF135" s="57">
        <v>0.3</v>
      </c>
      <c r="BG135" s="58">
        <v>0.28000000000000003</v>
      </c>
      <c r="BH135" s="58">
        <v>0.28999999999999998</v>
      </c>
      <c r="BI135" s="58">
        <v>0.39</v>
      </c>
      <c r="BJ135" s="58">
        <v>0.55000000000000004</v>
      </c>
      <c r="BK135" s="58">
        <v>0.38</v>
      </c>
      <c r="BL135" s="58">
        <v>0.31</v>
      </c>
      <c r="BM135" s="59">
        <v>0.28999999999999998</v>
      </c>
      <c r="BO135" s="57">
        <v>0.4</v>
      </c>
      <c r="BP135" s="58">
        <v>0.36</v>
      </c>
      <c r="BQ135" s="58">
        <v>0.36</v>
      </c>
      <c r="BR135" s="58">
        <v>0.43</v>
      </c>
      <c r="BS135" s="58">
        <v>0.53</v>
      </c>
      <c r="BT135" s="58">
        <v>0.44</v>
      </c>
      <c r="BU135" s="58">
        <v>0.37</v>
      </c>
      <c r="BV135" s="59">
        <v>0.37</v>
      </c>
    </row>
    <row r="136" spans="2:74" ht="12.75" customHeight="1" x14ac:dyDescent="0.2">
      <c r="B136" s="653" t="s">
        <v>32</v>
      </c>
      <c r="C136" s="43">
        <v>0</v>
      </c>
      <c r="D136" s="51">
        <v>1</v>
      </c>
      <c r="E136" s="52">
        <v>1</v>
      </c>
      <c r="F136" s="52">
        <v>1</v>
      </c>
      <c r="G136" s="52">
        <v>1</v>
      </c>
      <c r="H136" s="52">
        <v>1</v>
      </c>
      <c r="I136" s="52">
        <v>1</v>
      </c>
      <c r="J136" s="52">
        <v>1</v>
      </c>
      <c r="K136" s="53">
        <v>1</v>
      </c>
      <c r="M136" s="51">
        <v>1</v>
      </c>
      <c r="N136" s="52">
        <v>1</v>
      </c>
      <c r="O136" s="52">
        <v>1</v>
      </c>
      <c r="P136" s="52">
        <v>1</v>
      </c>
      <c r="Q136" s="52">
        <v>1</v>
      </c>
      <c r="R136" s="52">
        <v>1</v>
      </c>
      <c r="S136" s="52">
        <v>1</v>
      </c>
      <c r="T136" s="53">
        <v>1</v>
      </c>
      <c r="V136" s="51">
        <v>1</v>
      </c>
      <c r="W136" s="52">
        <v>1</v>
      </c>
      <c r="X136" s="52">
        <v>1</v>
      </c>
      <c r="Y136" s="52">
        <v>1</v>
      </c>
      <c r="Z136" s="52">
        <v>1</v>
      </c>
      <c r="AA136" s="52">
        <v>1</v>
      </c>
      <c r="AB136" s="52">
        <v>1</v>
      </c>
      <c r="AC136" s="53">
        <v>1</v>
      </c>
      <c r="AE136" s="51">
        <v>1</v>
      </c>
      <c r="AF136" s="52">
        <v>1</v>
      </c>
      <c r="AG136" s="52">
        <v>1</v>
      </c>
      <c r="AH136" s="52">
        <v>1</v>
      </c>
      <c r="AI136" s="52">
        <v>1</v>
      </c>
      <c r="AJ136" s="52">
        <v>1</v>
      </c>
      <c r="AK136" s="52">
        <v>1</v>
      </c>
      <c r="AL136" s="53">
        <v>1</v>
      </c>
      <c r="AN136" s="51">
        <v>1</v>
      </c>
      <c r="AO136" s="52">
        <v>1</v>
      </c>
      <c r="AP136" s="52">
        <v>1</v>
      </c>
      <c r="AQ136" s="52">
        <v>1</v>
      </c>
      <c r="AR136" s="52">
        <v>1</v>
      </c>
      <c r="AS136" s="52">
        <v>1</v>
      </c>
      <c r="AT136" s="52">
        <v>1</v>
      </c>
      <c r="AU136" s="53">
        <v>1</v>
      </c>
      <c r="AW136" s="51">
        <v>1</v>
      </c>
      <c r="AX136" s="52">
        <v>1</v>
      </c>
      <c r="AY136" s="52">
        <v>1</v>
      </c>
      <c r="AZ136" s="52">
        <v>1</v>
      </c>
      <c r="BA136" s="52">
        <v>1</v>
      </c>
      <c r="BB136" s="52">
        <v>1</v>
      </c>
      <c r="BC136" s="52">
        <v>1</v>
      </c>
      <c r="BD136" s="53">
        <v>1</v>
      </c>
      <c r="BF136" s="51">
        <v>1</v>
      </c>
      <c r="BG136" s="52">
        <v>1</v>
      </c>
      <c r="BH136" s="52">
        <v>1</v>
      </c>
      <c r="BI136" s="52">
        <v>1</v>
      </c>
      <c r="BJ136" s="52">
        <v>1</v>
      </c>
      <c r="BK136" s="52">
        <v>1</v>
      </c>
      <c r="BL136" s="52">
        <v>1</v>
      </c>
      <c r="BM136" s="53">
        <v>1</v>
      </c>
      <c r="BO136" s="51">
        <v>1</v>
      </c>
      <c r="BP136" s="52">
        <v>1</v>
      </c>
      <c r="BQ136" s="52">
        <v>1</v>
      </c>
      <c r="BR136" s="52">
        <v>1</v>
      </c>
      <c r="BS136" s="52">
        <v>1</v>
      </c>
      <c r="BT136" s="52">
        <v>1</v>
      </c>
      <c r="BU136" s="52">
        <v>1</v>
      </c>
      <c r="BV136" s="53">
        <v>1</v>
      </c>
    </row>
    <row r="137" spans="2:74" x14ac:dyDescent="0.2">
      <c r="B137" s="653"/>
      <c r="C137" s="44">
        <v>0.2</v>
      </c>
      <c r="D137" s="54">
        <v>0.92</v>
      </c>
      <c r="E137" s="55">
        <v>0.94</v>
      </c>
      <c r="F137" s="55">
        <v>0.95</v>
      </c>
      <c r="G137" s="55">
        <v>0.94</v>
      </c>
      <c r="H137" s="55">
        <v>0.93</v>
      </c>
      <c r="I137" s="55">
        <v>0.94</v>
      </c>
      <c r="J137" s="55">
        <v>0.95</v>
      </c>
      <c r="K137" s="56">
        <v>0.94</v>
      </c>
      <c r="M137" s="54">
        <v>0.92</v>
      </c>
      <c r="N137" s="55">
        <v>0.94</v>
      </c>
      <c r="O137" s="55">
        <v>0.95</v>
      </c>
      <c r="P137" s="55">
        <v>0.94</v>
      </c>
      <c r="Q137" s="55">
        <v>0.93</v>
      </c>
      <c r="R137" s="55">
        <v>0.94</v>
      </c>
      <c r="S137" s="55">
        <v>0.95</v>
      </c>
      <c r="T137" s="56">
        <v>0.94</v>
      </c>
      <c r="V137" s="54">
        <v>0.92</v>
      </c>
      <c r="W137" s="55">
        <v>0.94</v>
      </c>
      <c r="X137" s="55">
        <v>0.95</v>
      </c>
      <c r="Y137" s="55">
        <v>0.94</v>
      </c>
      <c r="Z137" s="55">
        <v>0.93</v>
      </c>
      <c r="AA137" s="55">
        <v>0.94</v>
      </c>
      <c r="AB137" s="55">
        <v>0.95</v>
      </c>
      <c r="AC137" s="56">
        <v>0.94</v>
      </c>
      <c r="AE137" s="54">
        <v>0.93</v>
      </c>
      <c r="AF137" s="55">
        <v>0.95</v>
      </c>
      <c r="AG137" s="55">
        <v>0.96</v>
      </c>
      <c r="AH137" s="55">
        <v>0.95</v>
      </c>
      <c r="AI137" s="55">
        <v>0.96</v>
      </c>
      <c r="AJ137" s="55">
        <v>0.95</v>
      </c>
      <c r="AK137" s="55">
        <v>0.95</v>
      </c>
      <c r="AL137" s="56">
        <v>0.95</v>
      </c>
      <c r="AN137" s="54">
        <v>0.93</v>
      </c>
      <c r="AO137" s="55">
        <v>0.95</v>
      </c>
      <c r="AP137" s="55">
        <v>0.96</v>
      </c>
      <c r="AQ137" s="55">
        <v>0.95</v>
      </c>
      <c r="AR137" s="55">
        <v>0.96</v>
      </c>
      <c r="AS137" s="55">
        <v>0.95</v>
      </c>
      <c r="AT137" s="55">
        <v>0.95</v>
      </c>
      <c r="AU137" s="56">
        <v>0.95</v>
      </c>
      <c r="AW137" s="54">
        <v>0.93</v>
      </c>
      <c r="AX137" s="55">
        <v>0.95</v>
      </c>
      <c r="AY137" s="55">
        <v>0.95</v>
      </c>
      <c r="AZ137" s="55">
        <v>0.95</v>
      </c>
      <c r="BA137" s="55">
        <v>0.95</v>
      </c>
      <c r="BB137" s="55">
        <v>0.95</v>
      </c>
      <c r="BC137" s="55">
        <v>0.95</v>
      </c>
      <c r="BD137" s="56">
        <v>0.95</v>
      </c>
      <c r="BF137" s="54">
        <v>0.93</v>
      </c>
      <c r="BG137" s="55">
        <v>0.95</v>
      </c>
      <c r="BH137" s="55">
        <v>0.95</v>
      </c>
      <c r="BI137" s="55">
        <v>0.95</v>
      </c>
      <c r="BJ137" s="55">
        <v>0.95</v>
      </c>
      <c r="BK137" s="55">
        <v>0.95</v>
      </c>
      <c r="BL137" s="55">
        <v>0.95</v>
      </c>
      <c r="BM137" s="56">
        <v>0.95</v>
      </c>
      <c r="BO137" s="54">
        <v>0.91</v>
      </c>
      <c r="BP137" s="55">
        <v>0.94</v>
      </c>
      <c r="BQ137" s="55">
        <v>0.95</v>
      </c>
      <c r="BR137" s="55">
        <v>0.94</v>
      </c>
      <c r="BS137" s="55">
        <v>0.94</v>
      </c>
      <c r="BT137" s="55">
        <v>0.95</v>
      </c>
      <c r="BU137" s="55">
        <v>0.95</v>
      </c>
      <c r="BV137" s="56">
        <v>0.94</v>
      </c>
    </row>
    <row r="138" spans="2:74" x14ac:dyDescent="0.2">
      <c r="B138" s="653"/>
      <c r="C138" s="44">
        <v>0.4</v>
      </c>
      <c r="D138" s="54">
        <v>0.72</v>
      </c>
      <c r="E138" s="55">
        <v>0.81</v>
      </c>
      <c r="F138" s="55">
        <v>0.85</v>
      </c>
      <c r="G138" s="55">
        <v>0.83</v>
      </c>
      <c r="H138" s="55">
        <v>0.84</v>
      </c>
      <c r="I138" s="55">
        <v>0.84</v>
      </c>
      <c r="J138" s="55">
        <v>0.85</v>
      </c>
      <c r="K138" s="56">
        <v>0.81</v>
      </c>
      <c r="M138" s="54">
        <v>0.72</v>
      </c>
      <c r="N138" s="55">
        <v>0.81</v>
      </c>
      <c r="O138" s="55">
        <v>0.85</v>
      </c>
      <c r="P138" s="55">
        <v>0.83</v>
      </c>
      <c r="Q138" s="55">
        <v>0.84</v>
      </c>
      <c r="R138" s="55">
        <v>0.84</v>
      </c>
      <c r="S138" s="55">
        <v>0.85</v>
      </c>
      <c r="T138" s="56">
        <v>0.81</v>
      </c>
      <c r="V138" s="54">
        <v>0.72</v>
      </c>
      <c r="W138" s="55">
        <v>0.81</v>
      </c>
      <c r="X138" s="55">
        <v>0.85</v>
      </c>
      <c r="Y138" s="55">
        <v>0.83</v>
      </c>
      <c r="Z138" s="55">
        <v>0.84</v>
      </c>
      <c r="AA138" s="55">
        <v>0.84</v>
      </c>
      <c r="AB138" s="55">
        <v>0.85</v>
      </c>
      <c r="AC138" s="56">
        <v>0.81</v>
      </c>
      <c r="AE138" s="54">
        <v>0.77</v>
      </c>
      <c r="AF138" s="55">
        <v>0.83</v>
      </c>
      <c r="AG138" s="55">
        <v>0.86</v>
      </c>
      <c r="AH138" s="55">
        <v>0.85</v>
      </c>
      <c r="AI138" s="55">
        <v>0.89</v>
      </c>
      <c r="AJ138" s="55">
        <v>0.86</v>
      </c>
      <c r="AK138" s="55">
        <v>0.85</v>
      </c>
      <c r="AL138" s="56">
        <v>0.82</v>
      </c>
      <c r="AN138" s="54">
        <v>0.77</v>
      </c>
      <c r="AO138" s="55">
        <v>0.83</v>
      </c>
      <c r="AP138" s="55">
        <v>0.86</v>
      </c>
      <c r="AQ138" s="55">
        <v>0.85</v>
      </c>
      <c r="AR138" s="55">
        <v>0.89</v>
      </c>
      <c r="AS138" s="55">
        <v>0.86</v>
      </c>
      <c r="AT138" s="55">
        <v>0.85</v>
      </c>
      <c r="AU138" s="56">
        <v>0.82</v>
      </c>
      <c r="AW138" s="54">
        <v>0.79</v>
      </c>
      <c r="AX138" s="55">
        <v>0.84</v>
      </c>
      <c r="AY138" s="55">
        <v>0.86</v>
      </c>
      <c r="AZ138" s="55">
        <v>0.86</v>
      </c>
      <c r="BA138" s="55">
        <v>0.88</v>
      </c>
      <c r="BB138" s="55">
        <v>0.86</v>
      </c>
      <c r="BC138" s="55">
        <v>0.85</v>
      </c>
      <c r="BD138" s="56">
        <v>0.82</v>
      </c>
      <c r="BF138" s="54">
        <v>0.79</v>
      </c>
      <c r="BG138" s="55">
        <v>0.84</v>
      </c>
      <c r="BH138" s="55">
        <v>0.86</v>
      </c>
      <c r="BI138" s="55">
        <v>0.86</v>
      </c>
      <c r="BJ138" s="55">
        <v>0.88</v>
      </c>
      <c r="BK138" s="55">
        <v>0.86</v>
      </c>
      <c r="BL138" s="55">
        <v>0.85</v>
      </c>
      <c r="BM138" s="56">
        <v>0.82</v>
      </c>
      <c r="BO138" s="54">
        <v>0.74</v>
      </c>
      <c r="BP138" s="55">
        <v>0.81</v>
      </c>
      <c r="BQ138" s="55">
        <v>0.84</v>
      </c>
      <c r="BR138" s="55">
        <v>0.83</v>
      </c>
      <c r="BS138" s="55">
        <v>0.85</v>
      </c>
      <c r="BT138" s="55">
        <v>0.84</v>
      </c>
      <c r="BU138" s="55">
        <v>0.85</v>
      </c>
      <c r="BV138" s="56">
        <v>0.8</v>
      </c>
    </row>
    <row r="139" spans="2:74" x14ac:dyDescent="0.2">
      <c r="B139" s="653"/>
      <c r="C139" s="44">
        <v>0.6</v>
      </c>
      <c r="D139" s="54">
        <v>0.54</v>
      </c>
      <c r="E139" s="55">
        <v>0.68</v>
      </c>
      <c r="F139" s="55">
        <v>0.73</v>
      </c>
      <c r="G139" s="55">
        <v>0.72</v>
      </c>
      <c r="H139" s="55">
        <v>0.77</v>
      </c>
      <c r="I139" s="55">
        <v>0.75</v>
      </c>
      <c r="J139" s="55">
        <v>0.74</v>
      </c>
      <c r="K139" s="56">
        <v>0.68</v>
      </c>
      <c r="M139" s="54">
        <v>0.54</v>
      </c>
      <c r="N139" s="55">
        <v>0.68</v>
      </c>
      <c r="O139" s="55">
        <v>0.73</v>
      </c>
      <c r="P139" s="55">
        <v>0.72</v>
      </c>
      <c r="Q139" s="55">
        <v>0.77</v>
      </c>
      <c r="R139" s="55">
        <v>0.75</v>
      </c>
      <c r="S139" s="55">
        <v>0.74</v>
      </c>
      <c r="T139" s="56">
        <v>0.68</v>
      </c>
      <c r="V139" s="54">
        <v>0.54</v>
      </c>
      <c r="W139" s="55">
        <v>0.68</v>
      </c>
      <c r="X139" s="55">
        <v>0.73</v>
      </c>
      <c r="Y139" s="55">
        <v>0.72</v>
      </c>
      <c r="Z139" s="55">
        <v>0.77</v>
      </c>
      <c r="AA139" s="55">
        <v>0.75</v>
      </c>
      <c r="AB139" s="55">
        <v>0.74</v>
      </c>
      <c r="AC139" s="56">
        <v>0.68</v>
      </c>
      <c r="AE139" s="54">
        <v>0.62</v>
      </c>
      <c r="AF139" s="55">
        <v>0.7</v>
      </c>
      <c r="AG139" s="55">
        <v>0.74</v>
      </c>
      <c r="AH139" s="55">
        <v>0.74</v>
      </c>
      <c r="AI139" s="55">
        <v>0.82</v>
      </c>
      <c r="AJ139" s="55">
        <v>0.77</v>
      </c>
      <c r="AK139" s="55">
        <v>0.74</v>
      </c>
      <c r="AL139" s="56">
        <v>0.68</v>
      </c>
      <c r="AN139" s="54">
        <v>0.62</v>
      </c>
      <c r="AO139" s="55">
        <v>0.7</v>
      </c>
      <c r="AP139" s="55">
        <v>0.74</v>
      </c>
      <c r="AQ139" s="55">
        <v>0.74</v>
      </c>
      <c r="AR139" s="55">
        <v>0.82</v>
      </c>
      <c r="AS139" s="55">
        <v>0.77</v>
      </c>
      <c r="AT139" s="55">
        <v>0.74</v>
      </c>
      <c r="AU139" s="56">
        <v>0.68</v>
      </c>
      <c r="AW139" s="54">
        <v>0.64</v>
      </c>
      <c r="AX139" s="55">
        <v>0.71</v>
      </c>
      <c r="AY139" s="55">
        <v>0.75</v>
      </c>
      <c r="AZ139" s="55">
        <v>0.76</v>
      </c>
      <c r="BA139" s="55">
        <v>0.81</v>
      </c>
      <c r="BB139" s="55">
        <v>0.76</v>
      </c>
      <c r="BC139" s="55">
        <v>0.74</v>
      </c>
      <c r="BD139" s="56">
        <v>0.68</v>
      </c>
      <c r="BF139" s="54">
        <v>0.64</v>
      </c>
      <c r="BG139" s="55">
        <v>0.71</v>
      </c>
      <c r="BH139" s="55">
        <v>0.75</v>
      </c>
      <c r="BI139" s="55">
        <v>0.76</v>
      </c>
      <c r="BJ139" s="55">
        <v>0.81</v>
      </c>
      <c r="BK139" s="55">
        <v>0.76</v>
      </c>
      <c r="BL139" s="55">
        <v>0.74</v>
      </c>
      <c r="BM139" s="56">
        <v>0.68</v>
      </c>
      <c r="BO139" s="54">
        <v>0.57999999999999996</v>
      </c>
      <c r="BP139" s="55">
        <v>0.66</v>
      </c>
      <c r="BQ139" s="55">
        <v>0.73</v>
      </c>
      <c r="BR139" s="55">
        <v>0.73</v>
      </c>
      <c r="BS139" s="55">
        <v>0.77</v>
      </c>
      <c r="BT139" s="55">
        <v>0.75</v>
      </c>
      <c r="BU139" s="55">
        <v>0.74</v>
      </c>
      <c r="BV139" s="56">
        <v>0.67</v>
      </c>
    </row>
    <row r="140" spans="2:74" x14ac:dyDescent="0.2">
      <c r="B140" s="653"/>
      <c r="C140" s="44">
        <v>0.8</v>
      </c>
      <c r="D140" s="54">
        <v>0.42</v>
      </c>
      <c r="E140" s="55">
        <v>0.56000000000000005</v>
      </c>
      <c r="F140" s="55">
        <v>0.63</v>
      </c>
      <c r="G140" s="55">
        <v>0.56999999999999995</v>
      </c>
      <c r="H140" s="55">
        <v>0.71</v>
      </c>
      <c r="I140" s="55">
        <v>0.66</v>
      </c>
      <c r="J140" s="55">
        <v>0.64</v>
      </c>
      <c r="K140" s="56">
        <v>0.56000000000000005</v>
      </c>
      <c r="M140" s="54">
        <v>0.42</v>
      </c>
      <c r="N140" s="55">
        <v>0.56000000000000005</v>
      </c>
      <c r="O140" s="55">
        <v>0.63</v>
      </c>
      <c r="P140" s="55">
        <v>0.56999999999999995</v>
      </c>
      <c r="Q140" s="55">
        <v>0.71</v>
      </c>
      <c r="R140" s="55">
        <v>0.66</v>
      </c>
      <c r="S140" s="55">
        <v>0.64</v>
      </c>
      <c r="T140" s="56">
        <v>0.56000000000000005</v>
      </c>
      <c r="V140" s="54">
        <v>0.42</v>
      </c>
      <c r="W140" s="55">
        <v>0.56000000000000005</v>
      </c>
      <c r="X140" s="55">
        <v>0.63</v>
      </c>
      <c r="Y140" s="55">
        <v>0.56999999999999995</v>
      </c>
      <c r="Z140" s="55">
        <v>0.71</v>
      </c>
      <c r="AA140" s="55">
        <v>0.66</v>
      </c>
      <c r="AB140" s="55">
        <v>0.64</v>
      </c>
      <c r="AC140" s="56">
        <v>0.56000000000000005</v>
      </c>
      <c r="AE140" s="54">
        <v>0.48</v>
      </c>
      <c r="AF140" s="55">
        <v>0.57999999999999996</v>
      </c>
      <c r="AG140" s="55">
        <v>0.64</v>
      </c>
      <c r="AH140" s="55">
        <v>0.6</v>
      </c>
      <c r="AI140" s="55">
        <v>0.76</v>
      </c>
      <c r="AJ140" s="55">
        <v>0.68</v>
      </c>
      <c r="AK140" s="55">
        <v>0.64</v>
      </c>
      <c r="AL140" s="56">
        <v>0.56000000000000005</v>
      </c>
      <c r="AN140" s="54">
        <v>0.48</v>
      </c>
      <c r="AO140" s="55">
        <v>0.57999999999999996</v>
      </c>
      <c r="AP140" s="55">
        <v>0.64</v>
      </c>
      <c r="AQ140" s="55">
        <v>0.6</v>
      </c>
      <c r="AR140" s="55">
        <v>0.76</v>
      </c>
      <c r="AS140" s="55">
        <v>0.68</v>
      </c>
      <c r="AT140" s="55">
        <v>0.64</v>
      </c>
      <c r="AU140" s="56">
        <v>0.56000000000000005</v>
      </c>
      <c r="AW140" s="54">
        <v>0.52</v>
      </c>
      <c r="AX140" s="55">
        <v>0.6</v>
      </c>
      <c r="AY140" s="55">
        <v>0.65</v>
      </c>
      <c r="AZ140" s="55">
        <v>0.63</v>
      </c>
      <c r="BA140" s="55">
        <v>0.75</v>
      </c>
      <c r="BB140" s="55">
        <v>0.68</v>
      </c>
      <c r="BC140" s="55">
        <v>0.65</v>
      </c>
      <c r="BD140" s="56">
        <v>0.56999999999999995</v>
      </c>
      <c r="BF140" s="54">
        <v>0.52</v>
      </c>
      <c r="BG140" s="55">
        <v>0.6</v>
      </c>
      <c r="BH140" s="55">
        <v>0.65</v>
      </c>
      <c r="BI140" s="55">
        <v>0.63</v>
      </c>
      <c r="BJ140" s="55">
        <v>0.75</v>
      </c>
      <c r="BK140" s="55">
        <v>0.68</v>
      </c>
      <c r="BL140" s="55">
        <v>0.65</v>
      </c>
      <c r="BM140" s="56">
        <v>0.56999999999999995</v>
      </c>
      <c r="BO140" s="54">
        <v>0.48</v>
      </c>
      <c r="BP140" s="55">
        <v>0.55000000000000004</v>
      </c>
      <c r="BQ140" s="55">
        <v>0.62</v>
      </c>
      <c r="BR140" s="55">
        <v>0.6</v>
      </c>
      <c r="BS140" s="55">
        <v>0.7</v>
      </c>
      <c r="BT140" s="55">
        <v>0.66</v>
      </c>
      <c r="BU140" s="55">
        <v>0.65</v>
      </c>
      <c r="BV140" s="56">
        <v>0.56000000000000005</v>
      </c>
    </row>
    <row r="141" spans="2:74" x14ac:dyDescent="0.2">
      <c r="B141" s="653"/>
      <c r="C141" s="44">
        <v>1</v>
      </c>
      <c r="D141" s="54">
        <v>0.34</v>
      </c>
      <c r="E141" s="55">
        <v>0.46</v>
      </c>
      <c r="F141" s="55">
        <v>0.54</v>
      </c>
      <c r="G141" s="55">
        <v>0.54</v>
      </c>
      <c r="H141" s="55">
        <v>0.66</v>
      </c>
      <c r="I141" s="55">
        <v>0.59</v>
      </c>
      <c r="J141" s="55">
        <v>0.56000000000000005</v>
      </c>
      <c r="K141" s="56">
        <v>0.47</v>
      </c>
      <c r="M141" s="54">
        <v>0.34</v>
      </c>
      <c r="N141" s="55">
        <v>0.46</v>
      </c>
      <c r="O141" s="55">
        <v>0.54</v>
      </c>
      <c r="P141" s="55">
        <v>0.54</v>
      </c>
      <c r="Q141" s="55">
        <v>0.66</v>
      </c>
      <c r="R141" s="55">
        <v>0.59</v>
      </c>
      <c r="S141" s="55">
        <v>0.56000000000000005</v>
      </c>
      <c r="T141" s="56">
        <v>0.47</v>
      </c>
      <c r="V141" s="54">
        <v>0.34</v>
      </c>
      <c r="W141" s="55">
        <v>0.46</v>
      </c>
      <c r="X141" s="55">
        <v>0.54</v>
      </c>
      <c r="Y141" s="55">
        <v>0.54</v>
      </c>
      <c r="Z141" s="55">
        <v>0.66</v>
      </c>
      <c r="AA141" s="55">
        <v>0.59</v>
      </c>
      <c r="AB141" s="55">
        <v>0.56000000000000005</v>
      </c>
      <c r="AC141" s="56">
        <v>0.47</v>
      </c>
      <c r="AE141" s="54">
        <v>0.37</v>
      </c>
      <c r="AF141" s="55">
        <v>0.48</v>
      </c>
      <c r="AG141" s="55">
        <v>0.55000000000000004</v>
      </c>
      <c r="AH141" s="55">
        <v>0.57999999999999996</v>
      </c>
      <c r="AI141" s="55">
        <v>0.72</v>
      </c>
      <c r="AJ141" s="55">
        <v>0.61</v>
      </c>
      <c r="AK141" s="55">
        <v>0.56000000000000005</v>
      </c>
      <c r="AL141" s="56">
        <v>0.46</v>
      </c>
      <c r="AN141" s="54">
        <v>0.37</v>
      </c>
      <c r="AO141" s="55">
        <v>0.48</v>
      </c>
      <c r="AP141" s="55">
        <v>0.55000000000000004</v>
      </c>
      <c r="AQ141" s="55">
        <v>0.57999999999999996</v>
      </c>
      <c r="AR141" s="55">
        <v>0.72</v>
      </c>
      <c r="AS141" s="55">
        <v>0.61</v>
      </c>
      <c r="AT141" s="55">
        <v>0.56000000000000005</v>
      </c>
      <c r="AU141" s="56">
        <v>0.46</v>
      </c>
      <c r="AW141" s="54">
        <v>0.43</v>
      </c>
      <c r="AX141" s="55">
        <v>0.51</v>
      </c>
      <c r="AY141" s="55">
        <v>0.56999999999999995</v>
      </c>
      <c r="AZ141" s="55">
        <v>0.61</v>
      </c>
      <c r="BA141" s="55">
        <v>0.71</v>
      </c>
      <c r="BB141" s="55">
        <v>0.61</v>
      </c>
      <c r="BC141" s="55">
        <v>0.56999999999999995</v>
      </c>
      <c r="BD141" s="56">
        <v>0.48</v>
      </c>
      <c r="BF141" s="54">
        <v>0.43</v>
      </c>
      <c r="BG141" s="55">
        <v>0.51</v>
      </c>
      <c r="BH141" s="55">
        <v>0.56999999999999995</v>
      </c>
      <c r="BI141" s="55">
        <v>0.61</v>
      </c>
      <c r="BJ141" s="55">
        <v>0.71</v>
      </c>
      <c r="BK141" s="55">
        <v>0.61</v>
      </c>
      <c r="BL141" s="55">
        <v>0.56999999999999995</v>
      </c>
      <c r="BM141" s="56">
        <v>0.48</v>
      </c>
      <c r="BO141" s="54">
        <v>0.44</v>
      </c>
      <c r="BP141" s="55">
        <v>0.47</v>
      </c>
      <c r="BQ141" s="55">
        <v>0.54</v>
      </c>
      <c r="BR141" s="55">
        <v>0.57999999999999996</v>
      </c>
      <c r="BS141" s="55">
        <v>0.65</v>
      </c>
      <c r="BT141" s="55">
        <v>0.6</v>
      </c>
      <c r="BU141" s="55">
        <v>0.56999999999999995</v>
      </c>
      <c r="BV141" s="56">
        <v>0.48</v>
      </c>
    </row>
    <row r="142" spans="2:74" x14ac:dyDescent="0.2">
      <c r="B142" s="653"/>
      <c r="C142" s="44">
        <v>1.2</v>
      </c>
      <c r="D142" s="54">
        <v>0.28999999999999998</v>
      </c>
      <c r="E142" s="55">
        <v>0.38</v>
      </c>
      <c r="F142" s="55">
        <v>0.46</v>
      </c>
      <c r="G142" s="55">
        <v>0.48</v>
      </c>
      <c r="H142" s="55">
        <v>0.62</v>
      </c>
      <c r="I142" s="55">
        <v>0.54</v>
      </c>
      <c r="J142" s="55">
        <v>0.49</v>
      </c>
      <c r="K142" s="56">
        <v>0.41</v>
      </c>
      <c r="M142" s="54">
        <v>0.28999999999999998</v>
      </c>
      <c r="N142" s="55">
        <v>0.38</v>
      </c>
      <c r="O142" s="55">
        <v>0.46</v>
      </c>
      <c r="P142" s="55">
        <v>0.48</v>
      </c>
      <c r="Q142" s="55">
        <v>0.62</v>
      </c>
      <c r="R142" s="55">
        <v>0.54</v>
      </c>
      <c r="S142" s="55">
        <v>0.49</v>
      </c>
      <c r="T142" s="56">
        <v>0.41</v>
      </c>
      <c r="V142" s="54">
        <v>0.28999999999999998</v>
      </c>
      <c r="W142" s="55">
        <v>0.38</v>
      </c>
      <c r="X142" s="55">
        <v>0.46</v>
      </c>
      <c r="Y142" s="55">
        <v>0.48</v>
      </c>
      <c r="Z142" s="55">
        <v>0.62</v>
      </c>
      <c r="AA142" s="55">
        <v>0.54</v>
      </c>
      <c r="AB142" s="55">
        <v>0.49</v>
      </c>
      <c r="AC142" s="56">
        <v>0.41</v>
      </c>
      <c r="AE142" s="54">
        <v>0.32</v>
      </c>
      <c r="AF142" s="55">
        <v>0.4</v>
      </c>
      <c r="AG142" s="55">
        <v>0.48</v>
      </c>
      <c r="AH142" s="55">
        <v>0.52</v>
      </c>
      <c r="AI142" s="55">
        <v>0.68</v>
      </c>
      <c r="AJ142" s="55">
        <v>0.56000000000000005</v>
      </c>
      <c r="AK142" s="55">
        <v>0.5</v>
      </c>
      <c r="AL142" s="56">
        <v>0.39</v>
      </c>
      <c r="AN142" s="54">
        <v>0.32</v>
      </c>
      <c r="AO142" s="55">
        <v>0.4</v>
      </c>
      <c r="AP142" s="55">
        <v>0.48</v>
      </c>
      <c r="AQ142" s="55">
        <v>0.52</v>
      </c>
      <c r="AR142" s="55">
        <v>0.68</v>
      </c>
      <c r="AS142" s="55">
        <v>0.56000000000000005</v>
      </c>
      <c r="AT142" s="55">
        <v>0.5</v>
      </c>
      <c r="AU142" s="56">
        <v>0.39</v>
      </c>
      <c r="AW142" s="54">
        <v>0.38</v>
      </c>
      <c r="AX142" s="55">
        <v>0.44</v>
      </c>
      <c r="AY142" s="55">
        <v>0.5</v>
      </c>
      <c r="AZ142" s="55">
        <v>0.56000000000000005</v>
      </c>
      <c r="BA142" s="55">
        <v>0.68</v>
      </c>
      <c r="BB142" s="55">
        <v>0.56000000000000005</v>
      </c>
      <c r="BC142" s="55">
        <v>0.5</v>
      </c>
      <c r="BD142" s="56">
        <v>0.42</v>
      </c>
      <c r="BF142" s="54">
        <v>0.38</v>
      </c>
      <c r="BG142" s="55">
        <v>0.44</v>
      </c>
      <c r="BH142" s="55">
        <v>0.5</v>
      </c>
      <c r="BI142" s="55">
        <v>0.56000000000000005</v>
      </c>
      <c r="BJ142" s="55">
        <v>0.68</v>
      </c>
      <c r="BK142" s="55">
        <v>0.56000000000000005</v>
      </c>
      <c r="BL142" s="55">
        <v>0.5</v>
      </c>
      <c r="BM142" s="56">
        <v>0.42</v>
      </c>
      <c r="BO142" s="54">
        <v>0.43</v>
      </c>
      <c r="BP142" s="55">
        <v>0.42</v>
      </c>
      <c r="BQ142" s="55">
        <v>0.49</v>
      </c>
      <c r="BR142" s="55">
        <v>0.54</v>
      </c>
      <c r="BS142" s="55">
        <v>0.62</v>
      </c>
      <c r="BT142" s="55">
        <v>0.55000000000000004</v>
      </c>
      <c r="BU142" s="55">
        <v>0.51</v>
      </c>
      <c r="BV142" s="56">
        <v>0.44</v>
      </c>
    </row>
    <row r="143" spans="2:74" x14ac:dyDescent="0.2">
      <c r="B143" s="653"/>
      <c r="C143" s="44">
        <v>1.4</v>
      </c>
      <c r="D143" s="54">
        <v>0.25</v>
      </c>
      <c r="E143" s="55">
        <v>0.32</v>
      </c>
      <c r="F143" s="55">
        <v>0.4</v>
      </c>
      <c r="G143" s="55">
        <v>0.43</v>
      </c>
      <c r="H143" s="55">
        <v>0.6</v>
      </c>
      <c r="I143" s="55">
        <v>0.5</v>
      </c>
      <c r="J143" s="55">
        <v>0.44</v>
      </c>
      <c r="K143" s="56">
        <v>0.35</v>
      </c>
      <c r="M143" s="54">
        <v>0.25</v>
      </c>
      <c r="N143" s="55">
        <v>0.32</v>
      </c>
      <c r="O143" s="55">
        <v>0.4</v>
      </c>
      <c r="P143" s="55">
        <v>0.43</v>
      </c>
      <c r="Q143" s="55">
        <v>0.6</v>
      </c>
      <c r="R143" s="55">
        <v>0.5</v>
      </c>
      <c r="S143" s="55">
        <v>0.44</v>
      </c>
      <c r="T143" s="56">
        <v>0.35</v>
      </c>
      <c r="V143" s="54">
        <v>0.25</v>
      </c>
      <c r="W143" s="55">
        <v>0.32</v>
      </c>
      <c r="X143" s="55">
        <v>0.4</v>
      </c>
      <c r="Y143" s="55">
        <v>0.43</v>
      </c>
      <c r="Z143" s="55">
        <v>0.6</v>
      </c>
      <c r="AA143" s="55">
        <v>0.5</v>
      </c>
      <c r="AB143" s="55">
        <v>0.44</v>
      </c>
      <c r="AC143" s="56">
        <v>0.35</v>
      </c>
      <c r="AE143" s="54">
        <v>0.28000000000000003</v>
      </c>
      <c r="AF143" s="55">
        <v>0.35</v>
      </c>
      <c r="AG143" s="55">
        <v>0.43</v>
      </c>
      <c r="AH143" s="55">
        <v>0.48</v>
      </c>
      <c r="AI143" s="55">
        <v>0.66</v>
      </c>
      <c r="AJ143" s="55">
        <v>0.52</v>
      </c>
      <c r="AK143" s="55">
        <v>0.44</v>
      </c>
      <c r="AL143" s="56">
        <v>0.34</v>
      </c>
      <c r="AN143" s="54">
        <v>0.28000000000000003</v>
      </c>
      <c r="AO143" s="55">
        <v>0.35</v>
      </c>
      <c r="AP143" s="55">
        <v>0.43</v>
      </c>
      <c r="AQ143" s="55">
        <v>0.48</v>
      </c>
      <c r="AR143" s="55">
        <v>0.66</v>
      </c>
      <c r="AS143" s="55">
        <v>0.52</v>
      </c>
      <c r="AT143" s="55">
        <v>0.44</v>
      </c>
      <c r="AU143" s="56">
        <v>0.34</v>
      </c>
      <c r="AW143" s="54">
        <v>0.35</v>
      </c>
      <c r="AX143" s="55">
        <v>0.39</v>
      </c>
      <c r="AY143" s="55">
        <v>0.45</v>
      </c>
      <c r="AZ143" s="55">
        <v>0.52</v>
      </c>
      <c r="BA143" s="55">
        <v>0.65</v>
      </c>
      <c r="BB143" s="55">
        <v>0.52</v>
      </c>
      <c r="BC143" s="55">
        <v>0.46</v>
      </c>
      <c r="BD143" s="56">
        <v>0.38</v>
      </c>
      <c r="BF143" s="54">
        <v>0.35</v>
      </c>
      <c r="BG143" s="55">
        <v>0.39</v>
      </c>
      <c r="BH143" s="55">
        <v>0.45</v>
      </c>
      <c r="BI143" s="55">
        <v>0.52</v>
      </c>
      <c r="BJ143" s="55">
        <v>0.65</v>
      </c>
      <c r="BK143" s="55">
        <v>0.52</v>
      </c>
      <c r="BL143" s="55">
        <v>0.46</v>
      </c>
      <c r="BM143" s="56">
        <v>0.38</v>
      </c>
      <c r="BO143" s="54">
        <v>0.42</v>
      </c>
      <c r="BP143" s="55">
        <v>0.4</v>
      </c>
      <c r="BQ143" s="55">
        <v>0.45</v>
      </c>
      <c r="BR143" s="55">
        <v>0.51</v>
      </c>
      <c r="BS143" s="55">
        <v>0.6</v>
      </c>
      <c r="BT143" s="55">
        <v>0.52</v>
      </c>
      <c r="BU143" s="55">
        <v>0.47</v>
      </c>
      <c r="BV143" s="56">
        <v>0.41</v>
      </c>
    </row>
    <row r="144" spans="2:74" x14ac:dyDescent="0.2">
      <c r="B144" s="653"/>
      <c r="C144" s="44">
        <v>1.6</v>
      </c>
      <c r="D144" s="54">
        <v>0.23</v>
      </c>
      <c r="E144" s="55">
        <v>0.28999999999999998</v>
      </c>
      <c r="F144" s="55">
        <v>0.35</v>
      </c>
      <c r="G144" s="55">
        <v>0.4</v>
      </c>
      <c r="H144" s="55">
        <v>0.56999999999999995</v>
      </c>
      <c r="I144" s="55">
        <v>0.46</v>
      </c>
      <c r="J144" s="55">
        <v>0.39</v>
      </c>
      <c r="K144" s="56">
        <v>0.31</v>
      </c>
      <c r="M144" s="54">
        <v>0.23</v>
      </c>
      <c r="N144" s="55">
        <v>0.28999999999999998</v>
      </c>
      <c r="O144" s="55">
        <v>0.35</v>
      </c>
      <c r="P144" s="55">
        <v>0.4</v>
      </c>
      <c r="Q144" s="55">
        <v>0.56999999999999995</v>
      </c>
      <c r="R144" s="55">
        <v>0.46</v>
      </c>
      <c r="S144" s="55">
        <v>0.39</v>
      </c>
      <c r="T144" s="56">
        <v>0.31</v>
      </c>
      <c r="V144" s="54">
        <v>0.23</v>
      </c>
      <c r="W144" s="55">
        <v>0.28999999999999998</v>
      </c>
      <c r="X144" s="55">
        <v>0.35</v>
      </c>
      <c r="Y144" s="55">
        <v>0.4</v>
      </c>
      <c r="Z144" s="55">
        <v>0.56999999999999995</v>
      </c>
      <c r="AA144" s="55">
        <v>0.46</v>
      </c>
      <c r="AB144" s="55">
        <v>0.39</v>
      </c>
      <c r="AC144" s="56">
        <v>0.31</v>
      </c>
      <c r="AE144" s="54">
        <v>0.25</v>
      </c>
      <c r="AF144" s="55">
        <v>0.3</v>
      </c>
      <c r="AG144" s="55">
        <v>0.39</v>
      </c>
      <c r="AH144" s="55">
        <v>0.45</v>
      </c>
      <c r="AI144" s="55">
        <v>0.64</v>
      </c>
      <c r="AJ144" s="55">
        <v>0.48</v>
      </c>
      <c r="AK144" s="55">
        <v>0.4</v>
      </c>
      <c r="AL144" s="56">
        <v>0.3</v>
      </c>
      <c r="AN144" s="54">
        <v>0.25</v>
      </c>
      <c r="AO144" s="55">
        <v>0.3</v>
      </c>
      <c r="AP144" s="55">
        <v>0.39</v>
      </c>
      <c r="AQ144" s="55">
        <v>0.45</v>
      </c>
      <c r="AR144" s="55">
        <v>0.64</v>
      </c>
      <c r="AS144" s="55">
        <v>0.48</v>
      </c>
      <c r="AT144" s="55">
        <v>0.4</v>
      </c>
      <c r="AU144" s="56">
        <v>0.3</v>
      </c>
      <c r="AW144" s="54">
        <v>0.33</v>
      </c>
      <c r="AX144" s="55">
        <v>0.35</v>
      </c>
      <c r="AY144" s="55">
        <v>0.41</v>
      </c>
      <c r="AZ144" s="55">
        <v>0.49</v>
      </c>
      <c r="BA144" s="55">
        <v>0.63</v>
      </c>
      <c r="BB144" s="55">
        <v>0.49</v>
      </c>
      <c r="BC144" s="55">
        <v>0.42</v>
      </c>
      <c r="BD144" s="56">
        <v>0.35</v>
      </c>
      <c r="BF144" s="54">
        <v>0.33</v>
      </c>
      <c r="BG144" s="55">
        <v>0.35</v>
      </c>
      <c r="BH144" s="55">
        <v>0.41</v>
      </c>
      <c r="BI144" s="55">
        <v>0.49</v>
      </c>
      <c r="BJ144" s="55">
        <v>0.63</v>
      </c>
      <c r="BK144" s="55">
        <v>0.49</v>
      </c>
      <c r="BL144" s="55">
        <v>0.42</v>
      </c>
      <c r="BM144" s="56">
        <v>0.35</v>
      </c>
      <c r="BO144" s="54">
        <v>0.41</v>
      </c>
      <c r="BP144" s="55">
        <v>0.39</v>
      </c>
      <c r="BQ144" s="55">
        <v>0.42</v>
      </c>
      <c r="BR144" s="55">
        <v>0.49</v>
      </c>
      <c r="BS144" s="55">
        <v>0.57999999999999996</v>
      </c>
      <c r="BT144" s="55">
        <v>0.49</v>
      </c>
      <c r="BU144" s="55">
        <v>0.44</v>
      </c>
      <c r="BV144" s="56">
        <v>0.39</v>
      </c>
    </row>
    <row r="145" spans="2:74" x14ac:dyDescent="0.2">
      <c r="B145" s="653"/>
      <c r="C145" s="44">
        <v>1.8</v>
      </c>
      <c r="D145" s="54">
        <v>0.21</v>
      </c>
      <c r="E145" s="55">
        <v>0.26</v>
      </c>
      <c r="F145" s="55">
        <v>0.32</v>
      </c>
      <c r="G145" s="55">
        <v>0.37</v>
      </c>
      <c r="H145" s="55">
        <v>0.56000000000000005</v>
      </c>
      <c r="I145" s="55">
        <v>0.42</v>
      </c>
      <c r="J145" s="55">
        <v>0.36</v>
      </c>
      <c r="K145" s="56">
        <v>0.28000000000000003</v>
      </c>
      <c r="M145" s="54">
        <v>0.21</v>
      </c>
      <c r="N145" s="55">
        <v>0.26</v>
      </c>
      <c r="O145" s="55">
        <v>0.32</v>
      </c>
      <c r="P145" s="55">
        <v>0.37</v>
      </c>
      <c r="Q145" s="55">
        <v>0.56000000000000005</v>
      </c>
      <c r="R145" s="55">
        <v>0.42</v>
      </c>
      <c r="S145" s="55">
        <v>0.36</v>
      </c>
      <c r="T145" s="56">
        <v>0.28000000000000003</v>
      </c>
      <c r="V145" s="54">
        <v>0.21</v>
      </c>
      <c r="W145" s="55">
        <v>0.26</v>
      </c>
      <c r="X145" s="55">
        <v>0.32</v>
      </c>
      <c r="Y145" s="55">
        <v>0.37</v>
      </c>
      <c r="Z145" s="55">
        <v>0.56000000000000005</v>
      </c>
      <c r="AA145" s="55">
        <v>0.42</v>
      </c>
      <c r="AB145" s="55">
        <v>0.36</v>
      </c>
      <c r="AC145" s="56">
        <v>0.28000000000000003</v>
      </c>
      <c r="AE145" s="54">
        <v>0.23</v>
      </c>
      <c r="AF145" s="55">
        <v>0.27</v>
      </c>
      <c r="AG145" s="55">
        <v>0.35</v>
      </c>
      <c r="AH145" s="55">
        <v>0.42</v>
      </c>
      <c r="AI145" s="55">
        <v>0.62</v>
      </c>
      <c r="AJ145" s="55">
        <v>0.45</v>
      </c>
      <c r="AK145" s="55">
        <v>0.37</v>
      </c>
      <c r="AL145" s="56">
        <v>0.27</v>
      </c>
      <c r="AN145" s="54">
        <v>0.23</v>
      </c>
      <c r="AO145" s="55">
        <v>0.27</v>
      </c>
      <c r="AP145" s="55">
        <v>0.35</v>
      </c>
      <c r="AQ145" s="55">
        <v>0.42</v>
      </c>
      <c r="AR145" s="55">
        <v>0.62</v>
      </c>
      <c r="AS145" s="55">
        <v>0.45</v>
      </c>
      <c r="AT145" s="55">
        <v>0.37</v>
      </c>
      <c r="AU145" s="56">
        <v>0.27</v>
      </c>
      <c r="AW145" s="54">
        <v>0.32</v>
      </c>
      <c r="AX145" s="55">
        <v>0.33</v>
      </c>
      <c r="AY145" s="55">
        <v>0.38</v>
      </c>
      <c r="AZ145" s="55">
        <v>0.47</v>
      </c>
      <c r="BA145" s="55">
        <v>0.62</v>
      </c>
      <c r="BB145" s="55">
        <v>0.46</v>
      </c>
      <c r="BC145" s="55">
        <v>0.39</v>
      </c>
      <c r="BD145" s="56">
        <v>0.33</v>
      </c>
      <c r="BF145" s="54">
        <v>0.32</v>
      </c>
      <c r="BG145" s="55">
        <v>0.33</v>
      </c>
      <c r="BH145" s="55">
        <v>0.38</v>
      </c>
      <c r="BI145" s="55">
        <v>0.47</v>
      </c>
      <c r="BJ145" s="55">
        <v>0.62</v>
      </c>
      <c r="BK145" s="55">
        <v>0.46</v>
      </c>
      <c r="BL145" s="55">
        <v>0.39</v>
      </c>
      <c r="BM145" s="56">
        <v>0.33</v>
      </c>
      <c r="BO145" s="54">
        <v>0.41</v>
      </c>
      <c r="BP145" s="55">
        <v>0.38</v>
      </c>
      <c r="BQ145" s="55">
        <v>0.4</v>
      </c>
      <c r="BR145" s="55">
        <v>0.47</v>
      </c>
      <c r="BS145" s="55">
        <v>0.56999999999999995</v>
      </c>
      <c r="BT145" s="55">
        <v>0.48</v>
      </c>
      <c r="BU145" s="55">
        <v>0.42</v>
      </c>
      <c r="BV145" s="56">
        <v>0.38</v>
      </c>
    </row>
    <row r="146" spans="2:74" x14ac:dyDescent="0.2">
      <c r="B146" s="654"/>
      <c r="C146" s="45">
        <v>2</v>
      </c>
      <c r="D146" s="57">
        <v>0.2</v>
      </c>
      <c r="E146" s="58">
        <v>0.24</v>
      </c>
      <c r="F146" s="58">
        <v>0.28999999999999998</v>
      </c>
      <c r="G146" s="58">
        <v>0.34</v>
      </c>
      <c r="H146" s="58">
        <v>0.54</v>
      </c>
      <c r="I146" s="58">
        <v>0.39</v>
      </c>
      <c r="J146" s="58">
        <v>0.32</v>
      </c>
      <c r="K146" s="59">
        <v>0.25</v>
      </c>
      <c r="M146" s="57">
        <v>0.2</v>
      </c>
      <c r="N146" s="58">
        <v>0.24</v>
      </c>
      <c r="O146" s="58">
        <v>0.28999999999999998</v>
      </c>
      <c r="P146" s="58">
        <v>0.34</v>
      </c>
      <c r="Q146" s="58">
        <v>0.54</v>
      </c>
      <c r="R146" s="58">
        <v>0.39</v>
      </c>
      <c r="S146" s="58">
        <v>0.32</v>
      </c>
      <c r="T146" s="59">
        <v>0.25</v>
      </c>
      <c r="V146" s="57">
        <v>0.2</v>
      </c>
      <c r="W146" s="58">
        <v>0.24</v>
      </c>
      <c r="X146" s="58">
        <v>0.28999999999999998</v>
      </c>
      <c r="Y146" s="58">
        <v>0.34</v>
      </c>
      <c r="Z146" s="58">
        <v>0.54</v>
      </c>
      <c r="AA146" s="58">
        <v>0.39</v>
      </c>
      <c r="AB146" s="58">
        <v>0.32</v>
      </c>
      <c r="AC146" s="59">
        <v>0.25</v>
      </c>
      <c r="AE146" s="57">
        <v>0.21</v>
      </c>
      <c r="AF146" s="58">
        <v>0.25</v>
      </c>
      <c r="AG146" s="58">
        <v>0.32</v>
      </c>
      <c r="AH146" s="58">
        <v>0.39</v>
      </c>
      <c r="AI146" s="58">
        <v>0.6</v>
      </c>
      <c r="AJ146" s="58">
        <v>0.42</v>
      </c>
      <c r="AK146" s="58">
        <v>0.34</v>
      </c>
      <c r="AL146" s="59">
        <v>0.25</v>
      </c>
      <c r="AN146" s="57">
        <v>0.21</v>
      </c>
      <c r="AO146" s="58">
        <v>0.25</v>
      </c>
      <c r="AP146" s="58">
        <v>0.32</v>
      </c>
      <c r="AQ146" s="58">
        <v>0.39</v>
      </c>
      <c r="AR146" s="58">
        <v>0.6</v>
      </c>
      <c r="AS146" s="58">
        <v>0.42</v>
      </c>
      <c r="AT146" s="58">
        <v>0.34</v>
      </c>
      <c r="AU146" s="59">
        <v>0.25</v>
      </c>
      <c r="AW146" s="57">
        <v>0.31</v>
      </c>
      <c r="AX146" s="58">
        <v>0.31</v>
      </c>
      <c r="AY146" s="58">
        <v>0.36</v>
      </c>
      <c r="AZ146" s="58">
        <v>0.45</v>
      </c>
      <c r="BA146" s="58">
        <v>0.6</v>
      </c>
      <c r="BB146" s="58">
        <v>0.44</v>
      </c>
      <c r="BC146" s="58">
        <v>0.36</v>
      </c>
      <c r="BD146" s="59">
        <v>0.32</v>
      </c>
      <c r="BF146" s="57">
        <v>0.31</v>
      </c>
      <c r="BG146" s="58">
        <v>0.31</v>
      </c>
      <c r="BH146" s="58">
        <v>0.36</v>
      </c>
      <c r="BI146" s="58">
        <v>0.45</v>
      </c>
      <c r="BJ146" s="58">
        <v>0.6</v>
      </c>
      <c r="BK146" s="58">
        <v>0.44</v>
      </c>
      <c r="BL146" s="58">
        <v>0.36</v>
      </c>
      <c r="BM146" s="59">
        <v>0.32</v>
      </c>
      <c r="BO146" s="57">
        <v>0.41</v>
      </c>
      <c r="BP146" s="58">
        <v>0.37</v>
      </c>
      <c r="BQ146" s="58">
        <v>0.38</v>
      </c>
      <c r="BR146" s="58">
        <v>0.46</v>
      </c>
      <c r="BS146" s="58">
        <v>0.56000000000000005</v>
      </c>
      <c r="BT146" s="58">
        <v>0.46</v>
      </c>
      <c r="BU146" s="58">
        <v>0.4</v>
      </c>
      <c r="BV146" s="59">
        <v>0.38</v>
      </c>
    </row>
    <row r="147" spans="2:74" x14ac:dyDescent="0.2">
      <c r="B147" s="653" t="s">
        <v>33</v>
      </c>
      <c r="C147" s="492">
        <v>0</v>
      </c>
      <c r="D147" s="493">
        <v>1</v>
      </c>
      <c r="E147" s="494">
        <v>1</v>
      </c>
      <c r="F147" s="494">
        <v>1</v>
      </c>
      <c r="G147" s="494">
        <v>1</v>
      </c>
      <c r="H147" s="494">
        <v>1</v>
      </c>
      <c r="I147" s="494">
        <v>1</v>
      </c>
      <c r="J147" s="494">
        <v>1</v>
      </c>
      <c r="K147" s="495">
        <v>1</v>
      </c>
      <c r="M147" s="493">
        <v>1</v>
      </c>
      <c r="N147" s="494">
        <v>1</v>
      </c>
      <c r="O147" s="494">
        <v>1</v>
      </c>
      <c r="P147" s="494">
        <v>1</v>
      </c>
      <c r="Q147" s="494">
        <v>1</v>
      </c>
      <c r="R147" s="494">
        <v>1</v>
      </c>
      <c r="S147" s="494">
        <v>1</v>
      </c>
      <c r="T147" s="495">
        <v>1</v>
      </c>
      <c r="V147" s="493">
        <v>1</v>
      </c>
      <c r="W147" s="494">
        <v>1</v>
      </c>
      <c r="X147" s="494">
        <v>1</v>
      </c>
      <c r="Y147" s="494">
        <v>1</v>
      </c>
      <c r="Z147" s="494">
        <v>1</v>
      </c>
      <c r="AA147" s="494">
        <v>1</v>
      </c>
      <c r="AB147" s="494">
        <v>1</v>
      </c>
      <c r="AC147" s="495">
        <v>1</v>
      </c>
      <c r="AE147" s="493">
        <v>1</v>
      </c>
      <c r="AF147" s="494">
        <v>1</v>
      </c>
      <c r="AG147" s="494">
        <v>1</v>
      </c>
      <c r="AH147" s="494">
        <v>1</v>
      </c>
      <c r="AI147" s="494">
        <v>1</v>
      </c>
      <c r="AJ147" s="494">
        <v>1</v>
      </c>
      <c r="AK147" s="494">
        <v>1</v>
      </c>
      <c r="AL147" s="495">
        <v>1</v>
      </c>
      <c r="AN147" s="493">
        <v>1</v>
      </c>
      <c r="AO147" s="494">
        <v>1</v>
      </c>
      <c r="AP147" s="494">
        <v>1</v>
      </c>
      <c r="AQ147" s="494">
        <v>1</v>
      </c>
      <c r="AR147" s="494">
        <v>1</v>
      </c>
      <c r="AS147" s="494">
        <v>1</v>
      </c>
      <c r="AT147" s="494">
        <v>1</v>
      </c>
      <c r="AU147" s="495">
        <v>1</v>
      </c>
      <c r="AW147" s="493">
        <v>1</v>
      </c>
      <c r="AX147" s="494">
        <v>1</v>
      </c>
      <c r="AY147" s="494">
        <v>1</v>
      </c>
      <c r="AZ147" s="494">
        <v>1</v>
      </c>
      <c r="BA147" s="494">
        <v>1</v>
      </c>
      <c r="BB147" s="494">
        <v>1</v>
      </c>
      <c r="BC147" s="494">
        <v>1</v>
      </c>
      <c r="BD147" s="495">
        <v>1</v>
      </c>
      <c r="BF147" s="493">
        <v>1</v>
      </c>
      <c r="BG147" s="494">
        <v>1</v>
      </c>
      <c r="BH147" s="494">
        <v>1</v>
      </c>
      <c r="BI147" s="494">
        <v>1</v>
      </c>
      <c r="BJ147" s="494">
        <v>1</v>
      </c>
      <c r="BK147" s="494">
        <v>1</v>
      </c>
      <c r="BL147" s="494">
        <v>1</v>
      </c>
      <c r="BM147" s="495">
        <v>1</v>
      </c>
      <c r="BO147" s="493">
        <v>1</v>
      </c>
      <c r="BP147" s="494">
        <v>1</v>
      </c>
      <c r="BQ147" s="494">
        <v>1</v>
      </c>
      <c r="BR147" s="494">
        <v>1</v>
      </c>
      <c r="BS147" s="494">
        <v>1</v>
      </c>
      <c r="BT147" s="494">
        <v>1</v>
      </c>
      <c r="BU147" s="494">
        <v>1</v>
      </c>
      <c r="BV147" s="495">
        <v>1</v>
      </c>
    </row>
    <row r="148" spans="2:74" x14ac:dyDescent="0.2">
      <c r="B148" s="653"/>
      <c r="C148" s="492">
        <v>0.2</v>
      </c>
      <c r="D148" s="493">
        <v>0.97</v>
      </c>
      <c r="E148" s="494">
        <v>0.98</v>
      </c>
      <c r="F148" s="494">
        <v>0.98</v>
      </c>
      <c r="G148" s="494">
        <v>0.98</v>
      </c>
      <c r="H148" s="494">
        <v>0.96</v>
      </c>
      <c r="I148" s="494">
        <v>0.98</v>
      </c>
      <c r="J148" s="494">
        <v>0.98</v>
      </c>
      <c r="K148" s="495">
        <v>0.98</v>
      </c>
      <c r="M148" s="493">
        <v>0.97</v>
      </c>
      <c r="N148" s="494">
        <v>0.98</v>
      </c>
      <c r="O148" s="494">
        <v>0.98</v>
      </c>
      <c r="P148" s="494">
        <v>0.98</v>
      </c>
      <c r="Q148" s="494">
        <v>0.96</v>
      </c>
      <c r="R148" s="494">
        <v>0.98</v>
      </c>
      <c r="S148" s="494">
        <v>0.98</v>
      </c>
      <c r="T148" s="495">
        <v>0.98</v>
      </c>
      <c r="V148" s="493">
        <v>0.97</v>
      </c>
      <c r="W148" s="494">
        <v>0.98</v>
      </c>
      <c r="X148" s="494">
        <v>0.98</v>
      </c>
      <c r="Y148" s="494">
        <v>0.98</v>
      </c>
      <c r="Z148" s="494">
        <v>0.96</v>
      </c>
      <c r="AA148" s="494">
        <v>0.98</v>
      </c>
      <c r="AB148" s="494">
        <v>0.98</v>
      </c>
      <c r="AC148" s="495">
        <v>0.98</v>
      </c>
      <c r="AE148" s="493">
        <v>0.97</v>
      </c>
      <c r="AF148" s="494">
        <v>0.98</v>
      </c>
      <c r="AG148" s="494">
        <v>0.98</v>
      </c>
      <c r="AH148" s="494">
        <v>0.98</v>
      </c>
      <c r="AI148" s="494">
        <v>0.98</v>
      </c>
      <c r="AJ148" s="494">
        <v>0.98</v>
      </c>
      <c r="AK148" s="494">
        <v>0.98</v>
      </c>
      <c r="AL148" s="495">
        <v>0.98</v>
      </c>
      <c r="AN148" s="493">
        <v>0.97</v>
      </c>
      <c r="AO148" s="494">
        <v>0.98</v>
      </c>
      <c r="AP148" s="494">
        <v>0.98</v>
      </c>
      <c r="AQ148" s="494">
        <v>0.98</v>
      </c>
      <c r="AR148" s="494">
        <v>0.98</v>
      </c>
      <c r="AS148" s="494">
        <v>0.98</v>
      </c>
      <c r="AT148" s="494">
        <v>0.98</v>
      </c>
      <c r="AU148" s="495">
        <v>0.98</v>
      </c>
      <c r="AW148" s="493">
        <v>0.97</v>
      </c>
      <c r="AX148" s="494">
        <v>0.98</v>
      </c>
      <c r="AY148" s="494">
        <v>0.98</v>
      </c>
      <c r="AZ148" s="494">
        <v>0.98</v>
      </c>
      <c r="BA148" s="494">
        <v>0.98</v>
      </c>
      <c r="BB148" s="494">
        <v>0.98</v>
      </c>
      <c r="BC148" s="494">
        <v>0.98</v>
      </c>
      <c r="BD148" s="495">
        <v>0.98</v>
      </c>
      <c r="BF148" s="493">
        <v>0.97</v>
      </c>
      <c r="BG148" s="494">
        <v>0.98</v>
      </c>
      <c r="BH148" s="494">
        <v>0.98</v>
      </c>
      <c r="BI148" s="494">
        <v>0.98</v>
      </c>
      <c r="BJ148" s="494">
        <v>0.98</v>
      </c>
      <c r="BK148" s="494">
        <v>0.98</v>
      </c>
      <c r="BL148" s="494">
        <v>0.98</v>
      </c>
      <c r="BM148" s="495">
        <v>0.98</v>
      </c>
      <c r="BO148" s="493">
        <v>0.97</v>
      </c>
      <c r="BP148" s="494">
        <v>0.98</v>
      </c>
      <c r="BQ148" s="494">
        <v>0.98</v>
      </c>
      <c r="BR148" s="494">
        <v>0.98</v>
      </c>
      <c r="BS148" s="494">
        <v>0.97</v>
      </c>
      <c r="BT148" s="494">
        <v>0.98</v>
      </c>
      <c r="BU148" s="494">
        <v>0.98</v>
      </c>
      <c r="BV148" s="495">
        <v>0.97</v>
      </c>
    </row>
    <row r="149" spans="2:74" x14ac:dyDescent="0.2">
      <c r="B149" s="653"/>
      <c r="C149" s="492">
        <v>0.4</v>
      </c>
      <c r="D149" s="493">
        <v>0.89</v>
      </c>
      <c r="E149" s="494">
        <v>0.93</v>
      </c>
      <c r="F149" s="494">
        <v>0.94</v>
      </c>
      <c r="G149" s="494">
        <v>0.93</v>
      </c>
      <c r="H149" s="494">
        <v>0.91</v>
      </c>
      <c r="I149" s="494">
        <v>0.93</v>
      </c>
      <c r="J149" s="494">
        <v>0.94</v>
      </c>
      <c r="K149" s="495">
        <v>0.92</v>
      </c>
      <c r="M149" s="493">
        <v>0.89</v>
      </c>
      <c r="N149" s="494">
        <v>0.93</v>
      </c>
      <c r="O149" s="494">
        <v>0.94</v>
      </c>
      <c r="P149" s="494">
        <v>0.93</v>
      </c>
      <c r="Q149" s="494">
        <v>0.91</v>
      </c>
      <c r="R149" s="494">
        <v>0.93</v>
      </c>
      <c r="S149" s="494">
        <v>0.94</v>
      </c>
      <c r="T149" s="495">
        <v>0.92</v>
      </c>
      <c r="V149" s="493">
        <v>0.89</v>
      </c>
      <c r="W149" s="494">
        <v>0.93</v>
      </c>
      <c r="X149" s="494">
        <v>0.94</v>
      </c>
      <c r="Y149" s="494">
        <v>0.93</v>
      </c>
      <c r="Z149" s="494">
        <v>0.91</v>
      </c>
      <c r="AA149" s="494">
        <v>0.93</v>
      </c>
      <c r="AB149" s="494">
        <v>0.94</v>
      </c>
      <c r="AC149" s="495">
        <v>0.92</v>
      </c>
      <c r="AE149" s="493">
        <v>0.9</v>
      </c>
      <c r="AF149" s="494">
        <v>0.94</v>
      </c>
      <c r="AG149" s="494">
        <v>0.94</v>
      </c>
      <c r="AH149" s="494">
        <v>0.94</v>
      </c>
      <c r="AI149" s="494">
        <v>0.95</v>
      </c>
      <c r="AJ149" s="494">
        <v>0.94</v>
      </c>
      <c r="AK149" s="494">
        <v>0.94</v>
      </c>
      <c r="AL149" s="495">
        <v>0.93</v>
      </c>
      <c r="AN149" s="493">
        <v>0.9</v>
      </c>
      <c r="AO149" s="494">
        <v>0.94</v>
      </c>
      <c r="AP149" s="494">
        <v>0.94</v>
      </c>
      <c r="AQ149" s="494">
        <v>0.94</v>
      </c>
      <c r="AR149" s="494">
        <v>0.95</v>
      </c>
      <c r="AS149" s="494">
        <v>0.94</v>
      </c>
      <c r="AT149" s="494">
        <v>0.94</v>
      </c>
      <c r="AU149" s="495">
        <v>0.93</v>
      </c>
      <c r="AW149" s="493">
        <v>0.91</v>
      </c>
      <c r="AX149" s="494">
        <v>0.94</v>
      </c>
      <c r="AY149" s="494">
        <v>0.94</v>
      </c>
      <c r="AZ149" s="494">
        <v>0.94</v>
      </c>
      <c r="BA149" s="494">
        <v>0.94</v>
      </c>
      <c r="BB149" s="494">
        <v>0.94</v>
      </c>
      <c r="BC149" s="494">
        <v>0.94</v>
      </c>
      <c r="BD149" s="495">
        <v>0.93</v>
      </c>
      <c r="BF149" s="493">
        <v>0.91</v>
      </c>
      <c r="BG149" s="494">
        <v>0.94</v>
      </c>
      <c r="BH149" s="494">
        <v>0.94</v>
      </c>
      <c r="BI149" s="494">
        <v>0.94</v>
      </c>
      <c r="BJ149" s="494">
        <v>0.94</v>
      </c>
      <c r="BK149" s="494">
        <v>0.94</v>
      </c>
      <c r="BL149" s="494">
        <v>0.94</v>
      </c>
      <c r="BM149" s="495">
        <v>0.93</v>
      </c>
      <c r="BO149" s="493">
        <v>0.88</v>
      </c>
      <c r="BP149" s="494">
        <v>0.93</v>
      </c>
      <c r="BQ149" s="494">
        <v>0.94</v>
      </c>
      <c r="BR149" s="494">
        <v>0.93</v>
      </c>
      <c r="BS149" s="494">
        <v>0.93</v>
      </c>
      <c r="BT149" s="494">
        <v>0.93</v>
      </c>
      <c r="BU149" s="494">
        <v>0.93</v>
      </c>
      <c r="BV149" s="495">
        <v>0.92</v>
      </c>
    </row>
    <row r="150" spans="2:74" x14ac:dyDescent="0.2">
      <c r="B150" s="653"/>
      <c r="C150" s="492">
        <v>0.6</v>
      </c>
      <c r="D150" s="493">
        <v>0.74</v>
      </c>
      <c r="E150" s="494">
        <v>0.85</v>
      </c>
      <c r="F150" s="494">
        <v>0.88</v>
      </c>
      <c r="G150" s="494">
        <v>0.86</v>
      </c>
      <c r="H150" s="494">
        <v>0.86</v>
      </c>
      <c r="I150" s="494">
        <v>0.86</v>
      </c>
      <c r="J150" s="494">
        <v>0.87</v>
      </c>
      <c r="K150" s="495">
        <v>0.84</v>
      </c>
      <c r="M150" s="493">
        <v>0.74</v>
      </c>
      <c r="N150" s="494">
        <v>0.85</v>
      </c>
      <c r="O150" s="494">
        <v>0.88</v>
      </c>
      <c r="P150" s="494">
        <v>0.86</v>
      </c>
      <c r="Q150" s="494">
        <v>0.86</v>
      </c>
      <c r="R150" s="494">
        <v>0.86</v>
      </c>
      <c r="S150" s="494">
        <v>0.87</v>
      </c>
      <c r="T150" s="495">
        <v>0.84</v>
      </c>
      <c r="V150" s="493">
        <v>0.74</v>
      </c>
      <c r="W150" s="494">
        <v>0.85</v>
      </c>
      <c r="X150" s="494">
        <v>0.88</v>
      </c>
      <c r="Y150" s="494">
        <v>0.86</v>
      </c>
      <c r="Z150" s="494">
        <v>0.86</v>
      </c>
      <c r="AA150" s="494">
        <v>0.86</v>
      </c>
      <c r="AB150" s="494">
        <v>0.87</v>
      </c>
      <c r="AC150" s="495">
        <v>0.84</v>
      </c>
      <c r="AE150" s="493">
        <v>0.81</v>
      </c>
      <c r="AF150" s="494">
        <v>0.86</v>
      </c>
      <c r="AG150" s="494">
        <v>0.88</v>
      </c>
      <c r="AH150" s="494">
        <v>0.87</v>
      </c>
      <c r="AI150" s="494">
        <v>0.91</v>
      </c>
      <c r="AJ150" s="494">
        <v>0.88</v>
      </c>
      <c r="AK150" s="494">
        <v>0.88</v>
      </c>
      <c r="AL150" s="495">
        <v>0.85</v>
      </c>
      <c r="AN150" s="493">
        <v>0.81</v>
      </c>
      <c r="AO150" s="494">
        <v>0.86</v>
      </c>
      <c r="AP150" s="494">
        <v>0.88</v>
      </c>
      <c r="AQ150" s="494">
        <v>0.87</v>
      </c>
      <c r="AR150" s="494">
        <v>0.91</v>
      </c>
      <c r="AS150" s="494">
        <v>0.88</v>
      </c>
      <c r="AT150" s="494">
        <v>0.88</v>
      </c>
      <c r="AU150" s="495">
        <v>0.85</v>
      </c>
      <c r="AW150" s="493">
        <v>0.82</v>
      </c>
      <c r="AX150" s="494">
        <v>0.87</v>
      </c>
      <c r="AY150" s="494">
        <v>0.88</v>
      </c>
      <c r="AZ150" s="494">
        <v>0.88</v>
      </c>
      <c r="BA150" s="494">
        <v>0.9</v>
      </c>
      <c r="BB150" s="494">
        <v>0.88</v>
      </c>
      <c r="BC150" s="494">
        <v>0.87</v>
      </c>
      <c r="BD150" s="495">
        <v>0.85</v>
      </c>
      <c r="BF150" s="493">
        <v>0.82</v>
      </c>
      <c r="BG150" s="494">
        <v>0.87</v>
      </c>
      <c r="BH150" s="494">
        <v>0.88</v>
      </c>
      <c r="BI150" s="494">
        <v>0.88</v>
      </c>
      <c r="BJ150" s="494">
        <v>0.9</v>
      </c>
      <c r="BK150" s="494">
        <v>0.88</v>
      </c>
      <c r="BL150" s="494">
        <v>0.87</v>
      </c>
      <c r="BM150" s="495">
        <v>0.85</v>
      </c>
      <c r="BO150" s="493">
        <v>0.78</v>
      </c>
      <c r="BP150" s="494">
        <v>0.84</v>
      </c>
      <c r="BQ150" s="494">
        <v>0.87</v>
      </c>
      <c r="BR150" s="494">
        <v>0.86</v>
      </c>
      <c r="BS150" s="494">
        <v>0.87</v>
      </c>
      <c r="BT150" s="494">
        <v>0.86</v>
      </c>
      <c r="BU150" s="494">
        <v>0.87</v>
      </c>
      <c r="BV150" s="495">
        <v>0.83</v>
      </c>
    </row>
    <row r="151" spans="2:74" x14ac:dyDescent="0.2">
      <c r="B151" s="653"/>
      <c r="C151" s="492">
        <v>0.8</v>
      </c>
      <c r="D151" s="493">
        <v>0.59</v>
      </c>
      <c r="E151" s="494">
        <v>0.76</v>
      </c>
      <c r="F151" s="494">
        <v>0.81</v>
      </c>
      <c r="G151" s="494">
        <v>0.79</v>
      </c>
      <c r="H151" s="494">
        <v>0.81</v>
      </c>
      <c r="I151" s="494">
        <v>0.8</v>
      </c>
      <c r="J151" s="494">
        <v>0.8</v>
      </c>
      <c r="K151" s="495">
        <v>0.74</v>
      </c>
      <c r="M151" s="493">
        <v>0.59</v>
      </c>
      <c r="N151" s="494">
        <v>0.76</v>
      </c>
      <c r="O151" s="494">
        <v>0.81</v>
      </c>
      <c r="P151" s="494">
        <v>0.79</v>
      </c>
      <c r="Q151" s="494">
        <v>0.81</v>
      </c>
      <c r="R151" s="494">
        <v>0.8</v>
      </c>
      <c r="S151" s="494">
        <v>0.8</v>
      </c>
      <c r="T151" s="495">
        <v>0.74</v>
      </c>
      <c r="V151" s="493">
        <v>0.59</v>
      </c>
      <c r="W151" s="494">
        <v>0.76</v>
      </c>
      <c r="X151" s="494">
        <v>0.81</v>
      </c>
      <c r="Y151" s="494">
        <v>0.79</v>
      </c>
      <c r="Z151" s="494">
        <v>0.81</v>
      </c>
      <c r="AA151" s="494">
        <v>0.8</v>
      </c>
      <c r="AB151" s="494">
        <v>0.8</v>
      </c>
      <c r="AC151" s="495">
        <v>0.74</v>
      </c>
      <c r="AE151" s="493">
        <v>0.7</v>
      </c>
      <c r="AF151" s="494">
        <v>0.77</v>
      </c>
      <c r="AG151" s="494">
        <v>0.81</v>
      </c>
      <c r="AH151" s="494">
        <v>0.81</v>
      </c>
      <c r="AI151" s="494">
        <v>0.87</v>
      </c>
      <c r="AJ151" s="494">
        <v>0.81</v>
      </c>
      <c r="AK151" s="494">
        <v>0.8</v>
      </c>
      <c r="AL151" s="495">
        <v>0.75</v>
      </c>
      <c r="AN151" s="493">
        <v>0.7</v>
      </c>
      <c r="AO151" s="494">
        <v>0.77</v>
      </c>
      <c r="AP151" s="494">
        <v>0.81</v>
      </c>
      <c r="AQ151" s="494">
        <v>0.81</v>
      </c>
      <c r="AR151" s="494">
        <v>0.87</v>
      </c>
      <c r="AS151" s="494">
        <v>0.81</v>
      </c>
      <c r="AT151" s="494">
        <v>0.8</v>
      </c>
      <c r="AU151" s="495">
        <v>0.75</v>
      </c>
      <c r="AW151" s="493">
        <v>0.72</v>
      </c>
      <c r="AX151" s="494">
        <v>0.79</v>
      </c>
      <c r="AY151" s="494">
        <v>0.81</v>
      </c>
      <c r="AZ151" s="494">
        <v>0.82</v>
      </c>
      <c r="BA151" s="494">
        <v>0.85</v>
      </c>
      <c r="BB151" s="494">
        <v>0.81</v>
      </c>
      <c r="BC151" s="494">
        <v>0.8</v>
      </c>
      <c r="BD151" s="495">
        <v>0.75</v>
      </c>
      <c r="BF151" s="493">
        <v>0.72</v>
      </c>
      <c r="BG151" s="494">
        <v>0.79</v>
      </c>
      <c r="BH151" s="494">
        <v>0.81</v>
      </c>
      <c r="BI151" s="494">
        <v>0.82</v>
      </c>
      <c r="BJ151" s="494">
        <v>0.85</v>
      </c>
      <c r="BK151" s="494">
        <v>0.81</v>
      </c>
      <c r="BL151" s="494">
        <v>0.8</v>
      </c>
      <c r="BM151" s="495">
        <v>0.75</v>
      </c>
      <c r="BO151" s="493">
        <v>0.66</v>
      </c>
      <c r="BP151" s="494">
        <v>0.74</v>
      </c>
      <c r="BQ151" s="494">
        <v>0.79</v>
      </c>
      <c r="BR151" s="494">
        <v>0.79</v>
      </c>
      <c r="BS151" s="494">
        <v>0.81</v>
      </c>
      <c r="BT151" s="494">
        <v>0.8</v>
      </c>
      <c r="BU151" s="494">
        <v>0.8</v>
      </c>
      <c r="BV151" s="495">
        <v>0.74</v>
      </c>
    </row>
    <row r="152" spans="2:74" x14ac:dyDescent="0.2">
      <c r="B152" s="653"/>
      <c r="C152" s="492">
        <v>1</v>
      </c>
      <c r="D152" s="493">
        <v>0.49</v>
      </c>
      <c r="E152" s="494">
        <v>0.66</v>
      </c>
      <c r="F152" s="494">
        <v>0.73</v>
      </c>
      <c r="G152" s="494">
        <v>0.72</v>
      </c>
      <c r="H152" s="494">
        <v>0.77</v>
      </c>
      <c r="I152" s="494">
        <v>0.73</v>
      </c>
      <c r="J152" s="494">
        <v>0.72</v>
      </c>
      <c r="K152" s="495">
        <v>0.66</v>
      </c>
      <c r="M152" s="493">
        <v>0.49</v>
      </c>
      <c r="N152" s="494">
        <v>0.66</v>
      </c>
      <c r="O152" s="494">
        <v>0.73</v>
      </c>
      <c r="P152" s="494">
        <v>0.72</v>
      </c>
      <c r="Q152" s="494">
        <v>0.77</v>
      </c>
      <c r="R152" s="494">
        <v>0.73</v>
      </c>
      <c r="S152" s="494">
        <v>0.72</v>
      </c>
      <c r="T152" s="495">
        <v>0.66</v>
      </c>
      <c r="V152" s="493">
        <v>0.49</v>
      </c>
      <c r="W152" s="494">
        <v>0.66</v>
      </c>
      <c r="X152" s="494">
        <v>0.73</v>
      </c>
      <c r="Y152" s="494">
        <v>0.72</v>
      </c>
      <c r="Z152" s="494">
        <v>0.77</v>
      </c>
      <c r="AA152" s="494">
        <v>0.73</v>
      </c>
      <c r="AB152" s="494">
        <v>0.72</v>
      </c>
      <c r="AC152" s="495">
        <v>0.66</v>
      </c>
      <c r="AE152" s="493">
        <v>0.57999999999999996</v>
      </c>
      <c r="AF152" s="494">
        <v>0.68</v>
      </c>
      <c r="AG152" s="494">
        <v>0.74</v>
      </c>
      <c r="AH152" s="494">
        <v>0.74</v>
      </c>
      <c r="AI152" s="494">
        <v>0.82</v>
      </c>
      <c r="AJ152" s="494">
        <v>0.76</v>
      </c>
      <c r="AK152" s="494">
        <v>0.73</v>
      </c>
      <c r="AL152" s="495">
        <v>0.66</v>
      </c>
      <c r="AN152" s="493">
        <v>0.57999999999999996</v>
      </c>
      <c r="AO152" s="494">
        <v>0.68</v>
      </c>
      <c r="AP152" s="494">
        <v>0.74</v>
      </c>
      <c r="AQ152" s="494">
        <v>0.74</v>
      </c>
      <c r="AR152" s="494">
        <v>0.82</v>
      </c>
      <c r="AS152" s="494">
        <v>0.76</v>
      </c>
      <c r="AT152" s="494">
        <v>0.73</v>
      </c>
      <c r="AU152" s="495">
        <v>0.66</v>
      </c>
      <c r="AW152" s="493">
        <v>0.62</v>
      </c>
      <c r="AX152" s="494">
        <v>0.7</v>
      </c>
      <c r="AY152" s="494">
        <v>0.74</v>
      </c>
      <c r="AZ152" s="494">
        <v>0.76</v>
      </c>
      <c r="BA152" s="494">
        <v>0.81</v>
      </c>
      <c r="BB152" s="494">
        <v>0.75</v>
      </c>
      <c r="BC152" s="494">
        <v>0.73</v>
      </c>
      <c r="BD152" s="495">
        <v>0.66</v>
      </c>
      <c r="BF152" s="493">
        <v>0.62</v>
      </c>
      <c r="BG152" s="494">
        <v>0.7</v>
      </c>
      <c r="BH152" s="494">
        <v>0.74</v>
      </c>
      <c r="BI152" s="494">
        <v>0.76</v>
      </c>
      <c r="BJ152" s="494">
        <v>0.81</v>
      </c>
      <c r="BK152" s="494">
        <v>0.75</v>
      </c>
      <c r="BL152" s="494">
        <v>0.73</v>
      </c>
      <c r="BM152" s="495">
        <v>0.66</v>
      </c>
      <c r="BO152" s="493">
        <v>0.56000000000000005</v>
      </c>
      <c r="BP152" s="494">
        <v>0.64</v>
      </c>
      <c r="BQ152" s="494">
        <v>0.71</v>
      </c>
      <c r="BR152" s="494">
        <v>0.72</v>
      </c>
      <c r="BS152" s="494">
        <v>0.75</v>
      </c>
      <c r="BT152" s="494">
        <v>0.73</v>
      </c>
      <c r="BU152" s="494">
        <v>0.73</v>
      </c>
      <c r="BV152" s="495">
        <v>0.64</v>
      </c>
    </row>
    <row r="153" spans="2:74" x14ac:dyDescent="0.2">
      <c r="B153" s="653"/>
      <c r="C153" s="492">
        <v>1.2</v>
      </c>
      <c r="D153" s="493">
        <v>0.41</v>
      </c>
      <c r="E153" s="494">
        <v>0.57999999999999996</v>
      </c>
      <c r="F153" s="494">
        <v>0.66</v>
      </c>
      <c r="G153" s="494">
        <v>0.65</v>
      </c>
      <c r="H153" s="494">
        <v>0.73</v>
      </c>
      <c r="I153" s="494">
        <v>0.68</v>
      </c>
      <c r="J153" s="494">
        <v>0.66</v>
      </c>
      <c r="K153" s="495">
        <v>0.57999999999999996</v>
      </c>
      <c r="M153" s="493">
        <v>0.41</v>
      </c>
      <c r="N153" s="494">
        <v>0.57999999999999996</v>
      </c>
      <c r="O153" s="494">
        <v>0.66</v>
      </c>
      <c r="P153" s="494">
        <v>0.65</v>
      </c>
      <c r="Q153" s="494">
        <v>0.73</v>
      </c>
      <c r="R153" s="494">
        <v>0.68</v>
      </c>
      <c r="S153" s="494">
        <v>0.66</v>
      </c>
      <c r="T153" s="495">
        <v>0.57999999999999996</v>
      </c>
      <c r="V153" s="493">
        <v>0.41</v>
      </c>
      <c r="W153" s="494">
        <v>0.57999999999999996</v>
      </c>
      <c r="X153" s="494">
        <v>0.66</v>
      </c>
      <c r="Y153" s="494">
        <v>0.65</v>
      </c>
      <c r="Z153" s="494">
        <v>0.73</v>
      </c>
      <c r="AA153" s="494">
        <v>0.68</v>
      </c>
      <c r="AB153" s="494">
        <v>0.66</v>
      </c>
      <c r="AC153" s="495">
        <v>0.57999999999999996</v>
      </c>
      <c r="AE153" s="493">
        <v>0.47</v>
      </c>
      <c r="AF153" s="494">
        <v>0.6</v>
      </c>
      <c r="AG153" s="494">
        <v>0.67</v>
      </c>
      <c r="AH153" s="494">
        <v>0.68</v>
      </c>
      <c r="AI153" s="494">
        <v>0.79</v>
      </c>
      <c r="AJ153" s="494">
        <v>0.7</v>
      </c>
      <c r="AK153" s="494">
        <v>0.66</v>
      </c>
      <c r="AL153" s="495">
        <v>0.57999999999999996</v>
      </c>
      <c r="AN153" s="493">
        <v>0.47</v>
      </c>
      <c r="AO153" s="494">
        <v>0.6</v>
      </c>
      <c r="AP153" s="494">
        <v>0.67</v>
      </c>
      <c r="AQ153" s="494">
        <v>0.68</v>
      </c>
      <c r="AR153" s="494">
        <v>0.79</v>
      </c>
      <c r="AS153" s="494">
        <v>0.7</v>
      </c>
      <c r="AT153" s="494">
        <v>0.66</v>
      </c>
      <c r="AU153" s="495">
        <v>0.57999999999999996</v>
      </c>
      <c r="AW153" s="493">
        <v>0.53</v>
      </c>
      <c r="AX153" s="494">
        <v>0.62</v>
      </c>
      <c r="AY153" s="494">
        <v>0.67</v>
      </c>
      <c r="AZ153" s="494">
        <v>0.7</v>
      </c>
      <c r="BA153" s="494">
        <v>0.77</v>
      </c>
      <c r="BB153" s="494">
        <v>0.7</v>
      </c>
      <c r="BC153" s="494">
        <v>0.67</v>
      </c>
      <c r="BD153" s="495">
        <v>0.57999999999999996</v>
      </c>
      <c r="BF153" s="493">
        <v>0.53</v>
      </c>
      <c r="BG153" s="494">
        <v>0.62</v>
      </c>
      <c r="BH153" s="494">
        <v>0.67</v>
      </c>
      <c r="BI153" s="494">
        <v>0.7</v>
      </c>
      <c r="BJ153" s="494">
        <v>0.77</v>
      </c>
      <c r="BK153" s="494">
        <v>0.7</v>
      </c>
      <c r="BL153" s="494">
        <v>0.67</v>
      </c>
      <c r="BM153" s="495">
        <v>0.57999999999999996</v>
      </c>
      <c r="BO153" s="493">
        <v>0.49</v>
      </c>
      <c r="BP153" s="494">
        <v>0.56000000000000005</v>
      </c>
      <c r="BQ153" s="494">
        <v>0.65</v>
      </c>
      <c r="BR153" s="494">
        <v>0.66</v>
      </c>
      <c r="BS153" s="494">
        <v>0.71</v>
      </c>
      <c r="BT153" s="494">
        <v>0.68</v>
      </c>
      <c r="BU153" s="494">
        <v>0.66</v>
      </c>
      <c r="BV153" s="495">
        <v>0.56999999999999995</v>
      </c>
    </row>
    <row r="154" spans="2:74" x14ac:dyDescent="0.2">
      <c r="B154" s="653"/>
      <c r="C154" s="492">
        <v>1.4</v>
      </c>
      <c r="D154" s="493">
        <v>0.35</v>
      </c>
      <c r="E154" s="494">
        <v>0.51</v>
      </c>
      <c r="F154" s="494">
        <v>0.59</v>
      </c>
      <c r="G154" s="494">
        <v>0.59</v>
      </c>
      <c r="H154" s="494">
        <v>0.69</v>
      </c>
      <c r="I154" s="494">
        <v>0.63</v>
      </c>
      <c r="J154" s="494">
        <v>0.6</v>
      </c>
      <c r="K154" s="495">
        <v>0.51</v>
      </c>
      <c r="M154" s="493">
        <v>0.35</v>
      </c>
      <c r="N154" s="494">
        <v>0.51</v>
      </c>
      <c r="O154" s="494">
        <v>0.59</v>
      </c>
      <c r="P154" s="494">
        <v>0.59</v>
      </c>
      <c r="Q154" s="494">
        <v>0.69</v>
      </c>
      <c r="R154" s="494">
        <v>0.63</v>
      </c>
      <c r="S154" s="494">
        <v>0.6</v>
      </c>
      <c r="T154" s="495">
        <v>0.51</v>
      </c>
      <c r="V154" s="493">
        <v>0.35</v>
      </c>
      <c r="W154" s="494">
        <v>0.51</v>
      </c>
      <c r="X154" s="494">
        <v>0.59</v>
      </c>
      <c r="Y154" s="494">
        <v>0.59</v>
      </c>
      <c r="Z154" s="494">
        <v>0.69</v>
      </c>
      <c r="AA154" s="494">
        <v>0.63</v>
      </c>
      <c r="AB154" s="494">
        <v>0.6</v>
      </c>
      <c r="AC154" s="495">
        <v>0.51</v>
      </c>
      <c r="AE154" s="493">
        <v>0.4</v>
      </c>
      <c r="AF154" s="494">
        <v>0.52</v>
      </c>
      <c r="AG154" s="494">
        <v>0.61</v>
      </c>
      <c r="AH154" s="494">
        <v>0.62</v>
      </c>
      <c r="AI154" s="494">
        <v>0.75</v>
      </c>
      <c r="AJ154" s="494">
        <v>0.65</v>
      </c>
      <c r="AK154" s="494">
        <v>0.6</v>
      </c>
      <c r="AL154" s="495">
        <v>0.5</v>
      </c>
      <c r="AN154" s="493">
        <v>0.4</v>
      </c>
      <c r="AO154" s="494">
        <v>0.52</v>
      </c>
      <c r="AP154" s="494">
        <v>0.61</v>
      </c>
      <c r="AQ154" s="494">
        <v>0.62</v>
      </c>
      <c r="AR154" s="494">
        <v>0.75</v>
      </c>
      <c r="AS154" s="494">
        <v>0.65</v>
      </c>
      <c r="AT154" s="494">
        <v>0.6</v>
      </c>
      <c r="AU154" s="495">
        <v>0.5</v>
      </c>
      <c r="AW154" s="493">
        <v>0.47</v>
      </c>
      <c r="AX154" s="494">
        <v>0.55000000000000004</v>
      </c>
      <c r="AY154" s="494">
        <v>0.62</v>
      </c>
      <c r="AZ154" s="494">
        <v>0.65</v>
      </c>
      <c r="BA154" s="494">
        <v>0.74</v>
      </c>
      <c r="BB154" s="494">
        <v>0.65</v>
      </c>
      <c r="BC154" s="494">
        <v>0.61</v>
      </c>
      <c r="BD154" s="495">
        <v>0.51</v>
      </c>
      <c r="BF154" s="493">
        <v>0.47</v>
      </c>
      <c r="BG154" s="494">
        <v>0.55000000000000004</v>
      </c>
      <c r="BH154" s="494">
        <v>0.62</v>
      </c>
      <c r="BI154" s="494">
        <v>0.65</v>
      </c>
      <c r="BJ154" s="494">
        <v>0.74</v>
      </c>
      <c r="BK154" s="494">
        <v>0.65</v>
      </c>
      <c r="BL154" s="494">
        <v>0.61</v>
      </c>
      <c r="BM154" s="495">
        <v>0.51</v>
      </c>
      <c r="BO154" s="493">
        <v>0.46</v>
      </c>
      <c r="BP154" s="494">
        <v>0.5</v>
      </c>
      <c r="BQ154" s="494">
        <v>0.59</v>
      </c>
      <c r="BR154" s="494">
        <v>0.61</v>
      </c>
      <c r="BS154" s="494">
        <v>0.68</v>
      </c>
      <c r="BT154" s="494">
        <v>0.64</v>
      </c>
      <c r="BU154" s="494">
        <v>0.61</v>
      </c>
      <c r="BV154" s="495">
        <v>0.51</v>
      </c>
    </row>
    <row r="155" spans="2:74" x14ac:dyDescent="0.2">
      <c r="B155" s="653"/>
      <c r="C155" s="492">
        <v>1.6</v>
      </c>
      <c r="D155" s="493">
        <v>0.31</v>
      </c>
      <c r="E155" s="494">
        <v>0.44</v>
      </c>
      <c r="F155" s="494">
        <v>0.53</v>
      </c>
      <c r="G155" s="494">
        <v>0.54</v>
      </c>
      <c r="H155" s="494">
        <v>0.66</v>
      </c>
      <c r="I155" s="494">
        <v>0.59</v>
      </c>
      <c r="J155" s="494">
        <v>0.55000000000000004</v>
      </c>
      <c r="K155" s="495">
        <v>0.46</v>
      </c>
      <c r="M155" s="493">
        <v>0.31</v>
      </c>
      <c r="N155" s="494">
        <v>0.44</v>
      </c>
      <c r="O155" s="494">
        <v>0.53</v>
      </c>
      <c r="P155" s="494">
        <v>0.54</v>
      </c>
      <c r="Q155" s="494">
        <v>0.66</v>
      </c>
      <c r="R155" s="494">
        <v>0.59</v>
      </c>
      <c r="S155" s="494">
        <v>0.55000000000000004</v>
      </c>
      <c r="T155" s="495">
        <v>0.46</v>
      </c>
      <c r="V155" s="493">
        <v>0.31</v>
      </c>
      <c r="W155" s="494">
        <v>0.44</v>
      </c>
      <c r="X155" s="494">
        <v>0.53</v>
      </c>
      <c r="Y155" s="494">
        <v>0.54</v>
      </c>
      <c r="Z155" s="494">
        <v>0.66</v>
      </c>
      <c r="AA155" s="494">
        <v>0.59</v>
      </c>
      <c r="AB155" s="494">
        <v>0.55000000000000004</v>
      </c>
      <c r="AC155" s="495">
        <v>0.46</v>
      </c>
      <c r="AE155" s="493">
        <v>0.35</v>
      </c>
      <c r="AF155" s="494">
        <v>0.46</v>
      </c>
      <c r="AG155" s="494">
        <v>0.55000000000000004</v>
      </c>
      <c r="AH155" s="494">
        <v>0.57999999999999996</v>
      </c>
      <c r="AI155" s="494">
        <v>0.73</v>
      </c>
      <c r="AJ155" s="494">
        <v>0.61</v>
      </c>
      <c r="AK155" s="494">
        <v>0.55000000000000004</v>
      </c>
      <c r="AL155" s="495">
        <v>0.44</v>
      </c>
      <c r="AN155" s="493">
        <v>0.35</v>
      </c>
      <c r="AO155" s="494">
        <v>0.46</v>
      </c>
      <c r="AP155" s="494">
        <v>0.55000000000000004</v>
      </c>
      <c r="AQ155" s="494">
        <v>0.57999999999999996</v>
      </c>
      <c r="AR155" s="494">
        <v>0.73</v>
      </c>
      <c r="AS155" s="494">
        <v>0.61</v>
      </c>
      <c r="AT155" s="494">
        <v>0.55000000000000004</v>
      </c>
      <c r="AU155" s="495">
        <v>0.44</v>
      </c>
      <c r="AW155" s="493">
        <v>0.42</v>
      </c>
      <c r="AX155" s="494">
        <v>0.49</v>
      </c>
      <c r="AY155" s="494">
        <v>0.56000000000000005</v>
      </c>
      <c r="AZ155" s="494">
        <v>0.61</v>
      </c>
      <c r="BA155" s="494">
        <v>0.72</v>
      </c>
      <c r="BB155" s="494">
        <v>0.61</v>
      </c>
      <c r="BC155" s="494">
        <v>0.56000000000000005</v>
      </c>
      <c r="BD155" s="495">
        <v>0.46</v>
      </c>
      <c r="BF155" s="493">
        <v>0.42</v>
      </c>
      <c r="BG155" s="494">
        <v>0.49</v>
      </c>
      <c r="BH155" s="494">
        <v>0.56000000000000005</v>
      </c>
      <c r="BI155" s="494">
        <v>0.61</v>
      </c>
      <c r="BJ155" s="494">
        <v>0.72</v>
      </c>
      <c r="BK155" s="494">
        <v>0.61</v>
      </c>
      <c r="BL155" s="494">
        <v>0.56000000000000005</v>
      </c>
      <c r="BM155" s="495">
        <v>0.46</v>
      </c>
      <c r="BO155" s="493">
        <v>0.44</v>
      </c>
      <c r="BP155" s="494">
        <v>0.45</v>
      </c>
      <c r="BQ155" s="494">
        <v>0.54</v>
      </c>
      <c r="BR155" s="494">
        <v>0.56999999999999995</v>
      </c>
      <c r="BS155" s="494">
        <v>0.66</v>
      </c>
      <c r="BT155" s="494">
        <v>0.6</v>
      </c>
      <c r="BU155" s="494">
        <v>0.56000000000000005</v>
      </c>
      <c r="BV155" s="495">
        <v>0.47</v>
      </c>
    </row>
    <row r="156" spans="2:74" x14ac:dyDescent="0.2">
      <c r="B156" s="653"/>
      <c r="C156" s="492">
        <v>1.8</v>
      </c>
      <c r="D156" s="493">
        <v>0.28000000000000003</v>
      </c>
      <c r="E156" s="494">
        <v>0.39</v>
      </c>
      <c r="F156" s="494">
        <v>0.48</v>
      </c>
      <c r="G156" s="494">
        <v>0.5</v>
      </c>
      <c r="H156" s="494">
        <v>0.64</v>
      </c>
      <c r="I156" s="494">
        <v>0.55000000000000004</v>
      </c>
      <c r="J156" s="494">
        <v>0.5</v>
      </c>
      <c r="K156" s="495">
        <v>0.41</v>
      </c>
      <c r="M156" s="493">
        <v>0.28000000000000003</v>
      </c>
      <c r="N156" s="494">
        <v>0.39</v>
      </c>
      <c r="O156" s="494">
        <v>0.48</v>
      </c>
      <c r="P156" s="494">
        <v>0.5</v>
      </c>
      <c r="Q156" s="494">
        <v>0.64</v>
      </c>
      <c r="R156" s="494">
        <v>0.55000000000000004</v>
      </c>
      <c r="S156" s="494">
        <v>0.5</v>
      </c>
      <c r="T156" s="495">
        <v>0.41</v>
      </c>
      <c r="V156" s="493">
        <v>0.28000000000000003</v>
      </c>
      <c r="W156" s="494">
        <v>0.39</v>
      </c>
      <c r="X156" s="494">
        <v>0.48</v>
      </c>
      <c r="Y156" s="494">
        <v>0.5</v>
      </c>
      <c r="Z156" s="494">
        <v>0.64</v>
      </c>
      <c r="AA156" s="494">
        <v>0.55000000000000004</v>
      </c>
      <c r="AB156" s="494">
        <v>0.5</v>
      </c>
      <c r="AC156" s="495">
        <v>0.41</v>
      </c>
      <c r="AE156" s="493">
        <v>0.31</v>
      </c>
      <c r="AF156" s="494">
        <v>0.41</v>
      </c>
      <c r="AG156" s="494">
        <v>0.5</v>
      </c>
      <c r="AH156" s="494">
        <v>0.54</v>
      </c>
      <c r="AI156" s="494">
        <v>0.7</v>
      </c>
      <c r="AJ156" s="494">
        <v>0.56999999999999995</v>
      </c>
      <c r="AK156" s="494">
        <v>0.5</v>
      </c>
      <c r="AL156" s="495">
        <v>0.39</v>
      </c>
      <c r="AN156" s="493">
        <v>0.31</v>
      </c>
      <c r="AO156" s="494">
        <v>0.41</v>
      </c>
      <c r="AP156" s="494">
        <v>0.5</v>
      </c>
      <c r="AQ156" s="494">
        <v>0.54</v>
      </c>
      <c r="AR156" s="494">
        <v>0.7</v>
      </c>
      <c r="AS156" s="494">
        <v>0.56999999999999995</v>
      </c>
      <c r="AT156" s="494">
        <v>0.5</v>
      </c>
      <c r="AU156" s="495">
        <v>0.39</v>
      </c>
      <c r="AW156" s="493">
        <v>0.38</v>
      </c>
      <c r="AX156" s="494">
        <v>0.44</v>
      </c>
      <c r="AY156" s="494">
        <v>0.51</v>
      </c>
      <c r="AZ156" s="494">
        <v>0.56999999999999995</v>
      </c>
      <c r="BA156" s="494">
        <v>0.69</v>
      </c>
      <c r="BB156" s="494">
        <v>0.56999999999999995</v>
      </c>
      <c r="BC156" s="494">
        <v>0.51</v>
      </c>
      <c r="BD156" s="495">
        <v>0.42</v>
      </c>
      <c r="BF156" s="493">
        <v>0.38</v>
      </c>
      <c r="BG156" s="494">
        <v>0.44</v>
      </c>
      <c r="BH156" s="494">
        <v>0.51</v>
      </c>
      <c r="BI156" s="494">
        <v>0.56999999999999995</v>
      </c>
      <c r="BJ156" s="494">
        <v>0.69</v>
      </c>
      <c r="BK156" s="494">
        <v>0.56999999999999995</v>
      </c>
      <c r="BL156" s="494">
        <v>0.51</v>
      </c>
      <c r="BM156" s="495">
        <v>0.42</v>
      </c>
      <c r="BO156" s="493">
        <v>0.43</v>
      </c>
      <c r="BP156" s="494">
        <v>0.42</v>
      </c>
      <c r="BQ156" s="494">
        <v>0.49</v>
      </c>
      <c r="BR156" s="494">
        <v>0.54</v>
      </c>
      <c r="BS156" s="494">
        <v>0.63</v>
      </c>
      <c r="BT156" s="494">
        <v>0.56999999999999995</v>
      </c>
      <c r="BU156" s="494">
        <v>0.52</v>
      </c>
      <c r="BV156" s="495">
        <v>0.44</v>
      </c>
    </row>
    <row r="157" spans="2:74" x14ac:dyDescent="0.2">
      <c r="B157" s="654"/>
      <c r="C157" s="492">
        <v>2</v>
      </c>
      <c r="D157" s="493">
        <v>0.25</v>
      </c>
      <c r="E157" s="494">
        <v>0.35</v>
      </c>
      <c r="F157" s="494">
        <v>0.43</v>
      </c>
      <c r="G157" s="494">
        <v>0.46</v>
      </c>
      <c r="H157" s="494">
        <v>0.61</v>
      </c>
      <c r="I157" s="494">
        <v>0.51</v>
      </c>
      <c r="J157" s="494">
        <v>0.45</v>
      </c>
      <c r="K157" s="495">
        <v>0.37</v>
      </c>
      <c r="M157" s="493">
        <v>0.25</v>
      </c>
      <c r="N157" s="494">
        <v>0.35</v>
      </c>
      <c r="O157" s="494">
        <v>0.43</v>
      </c>
      <c r="P157" s="494">
        <v>0.46</v>
      </c>
      <c r="Q157" s="494">
        <v>0.61</v>
      </c>
      <c r="R157" s="494">
        <v>0.51</v>
      </c>
      <c r="S157" s="494">
        <v>0.45</v>
      </c>
      <c r="T157" s="495">
        <v>0.37</v>
      </c>
      <c r="V157" s="493">
        <v>0.25</v>
      </c>
      <c r="W157" s="494">
        <v>0.35</v>
      </c>
      <c r="X157" s="494">
        <v>0.43</v>
      </c>
      <c r="Y157" s="494">
        <v>0.46</v>
      </c>
      <c r="Z157" s="494">
        <v>0.61</v>
      </c>
      <c r="AA157" s="494">
        <v>0.51</v>
      </c>
      <c r="AB157" s="494">
        <v>0.45</v>
      </c>
      <c r="AC157" s="495">
        <v>0.37</v>
      </c>
      <c r="AE157" s="493">
        <v>0.27</v>
      </c>
      <c r="AF157" s="494">
        <v>0.36</v>
      </c>
      <c r="AG157" s="494">
        <v>0.45</v>
      </c>
      <c r="AH157" s="494">
        <v>0.5</v>
      </c>
      <c r="AI157" s="494">
        <v>0.68</v>
      </c>
      <c r="AJ157" s="494">
        <v>0.54</v>
      </c>
      <c r="AK157" s="494">
        <v>0.46</v>
      </c>
      <c r="AL157" s="495">
        <v>0.35</v>
      </c>
      <c r="AN157" s="493">
        <v>0.27</v>
      </c>
      <c r="AO157" s="494">
        <v>0.36</v>
      </c>
      <c r="AP157" s="494">
        <v>0.45</v>
      </c>
      <c r="AQ157" s="494">
        <v>0.5</v>
      </c>
      <c r="AR157" s="494">
        <v>0.68</v>
      </c>
      <c r="AS157" s="494">
        <v>0.54</v>
      </c>
      <c r="AT157" s="494">
        <v>0.46</v>
      </c>
      <c r="AU157" s="495">
        <v>0.35</v>
      </c>
      <c r="AW157" s="493">
        <v>0.35</v>
      </c>
      <c r="AX157" s="494">
        <v>0.4</v>
      </c>
      <c r="AY157" s="494">
        <v>0.47</v>
      </c>
      <c r="AZ157" s="494">
        <v>0.54</v>
      </c>
      <c r="BA157" s="494">
        <v>0.67</v>
      </c>
      <c r="BB157" s="494">
        <v>0.54</v>
      </c>
      <c r="BC157" s="494">
        <v>0.47</v>
      </c>
      <c r="BD157" s="495">
        <v>0.38</v>
      </c>
      <c r="BF157" s="493">
        <v>0.35</v>
      </c>
      <c r="BG157" s="494">
        <v>0.4</v>
      </c>
      <c r="BH157" s="494">
        <v>0.47</v>
      </c>
      <c r="BI157" s="494">
        <v>0.54</v>
      </c>
      <c r="BJ157" s="494">
        <v>0.67</v>
      </c>
      <c r="BK157" s="494">
        <v>0.54</v>
      </c>
      <c r="BL157" s="494">
        <v>0.47</v>
      </c>
      <c r="BM157" s="495">
        <v>0.38</v>
      </c>
      <c r="BO157" s="493">
        <v>0.42</v>
      </c>
      <c r="BP157" s="494">
        <v>0.4</v>
      </c>
      <c r="BQ157" s="494">
        <v>0.46</v>
      </c>
      <c r="BR157" s="494">
        <v>0.52</v>
      </c>
      <c r="BS157" s="494">
        <v>0.61</v>
      </c>
      <c r="BT157" s="494">
        <v>0.53</v>
      </c>
      <c r="BU157" s="494">
        <v>0.49</v>
      </c>
      <c r="BV157" s="495">
        <v>0.42</v>
      </c>
    </row>
    <row r="158" spans="2:74" x14ac:dyDescent="0.2">
      <c r="B158" s="653" t="s">
        <v>375</v>
      </c>
      <c r="C158" s="43">
        <v>0</v>
      </c>
      <c r="D158" s="51">
        <v>1</v>
      </c>
      <c r="E158" s="52">
        <v>1</v>
      </c>
      <c r="F158" s="52">
        <v>1</v>
      </c>
      <c r="G158" s="52">
        <v>1</v>
      </c>
      <c r="H158" s="52">
        <v>1</v>
      </c>
      <c r="I158" s="52">
        <v>1</v>
      </c>
      <c r="J158" s="52">
        <v>1</v>
      </c>
      <c r="K158" s="53">
        <v>1</v>
      </c>
      <c r="M158" s="51">
        <v>1</v>
      </c>
      <c r="N158" s="52">
        <v>1</v>
      </c>
      <c r="O158" s="52">
        <v>1</v>
      </c>
      <c r="P158" s="52">
        <v>1</v>
      </c>
      <c r="Q158" s="52">
        <v>1</v>
      </c>
      <c r="R158" s="52">
        <v>1</v>
      </c>
      <c r="S158" s="52">
        <v>1</v>
      </c>
      <c r="T158" s="53">
        <v>1</v>
      </c>
      <c r="V158" s="51">
        <v>1</v>
      </c>
      <c r="W158" s="52">
        <v>1</v>
      </c>
      <c r="X158" s="52">
        <v>1</v>
      </c>
      <c r="Y158" s="52">
        <v>1</v>
      </c>
      <c r="Z158" s="52">
        <v>1</v>
      </c>
      <c r="AA158" s="52">
        <v>1</v>
      </c>
      <c r="AB158" s="52">
        <v>1</v>
      </c>
      <c r="AC158" s="53">
        <v>1</v>
      </c>
      <c r="AE158" s="51">
        <v>1</v>
      </c>
      <c r="AF158" s="52">
        <v>1</v>
      </c>
      <c r="AG158" s="52">
        <v>1</v>
      </c>
      <c r="AH158" s="52">
        <v>1</v>
      </c>
      <c r="AI158" s="52">
        <v>1</v>
      </c>
      <c r="AJ158" s="52">
        <v>1</v>
      </c>
      <c r="AK158" s="52">
        <v>1</v>
      </c>
      <c r="AL158" s="53">
        <v>1</v>
      </c>
      <c r="AN158" s="51">
        <v>1</v>
      </c>
      <c r="AO158" s="52">
        <v>1</v>
      </c>
      <c r="AP158" s="52">
        <v>1</v>
      </c>
      <c r="AQ158" s="52">
        <v>1</v>
      </c>
      <c r="AR158" s="52">
        <v>1</v>
      </c>
      <c r="AS158" s="52">
        <v>1</v>
      </c>
      <c r="AT158" s="52">
        <v>1</v>
      </c>
      <c r="AU158" s="53">
        <v>1</v>
      </c>
      <c r="AW158" s="51">
        <v>1</v>
      </c>
      <c r="AX158" s="52">
        <v>1</v>
      </c>
      <c r="AY158" s="52">
        <v>1</v>
      </c>
      <c r="AZ158" s="52">
        <v>1</v>
      </c>
      <c r="BA158" s="52">
        <v>1</v>
      </c>
      <c r="BB158" s="52">
        <v>1</v>
      </c>
      <c r="BC158" s="52">
        <v>1</v>
      </c>
      <c r="BD158" s="53">
        <v>1</v>
      </c>
      <c r="BF158" s="51">
        <v>1</v>
      </c>
      <c r="BG158" s="52">
        <v>1</v>
      </c>
      <c r="BH158" s="52">
        <v>1</v>
      </c>
      <c r="BI158" s="52">
        <v>1</v>
      </c>
      <c r="BJ158" s="52">
        <v>1</v>
      </c>
      <c r="BK158" s="52">
        <v>1</v>
      </c>
      <c r="BL158" s="52">
        <v>1</v>
      </c>
      <c r="BM158" s="53">
        <v>1</v>
      </c>
      <c r="BO158" s="51">
        <v>1</v>
      </c>
      <c r="BP158" s="52">
        <v>1</v>
      </c>
      <c r="BQ158" s="52">
        <v>1</v>
      </c>
      <c r="BR158" s="52">
        <v>1</v>
      </c>
      <c r="BS158" s="52">
        <v>1</v>
      </c>
      <c r="BT158" s="52">
        <v>1</v>
      </c>
      <c r="BU158" s="52">
        <v>1</v>
      </c>
      <c r="BV158" s="53">
        <v>1</v>
      </c>
    </row>
    <row r="159" spans="2:74" x14ac:dyDescent="0.2">
      <c r="B159" s="653"/>
      <c r="C159" s="44">
        <v>0.2</v>
      </c>
      <c r="D159" s="54">
        <v>0.98</v>
      </c>
      <c r="E159" s="55">
        <v>0.99</v>
      </c>
      <c r="F159" s="55">
        <v>0.99</v>
      </c>
      <c r="G159" s="55">
        <v>0.99</v>
      </c>
      <c r="H159" s="55">
        <v>0.98</v>
      </c>
      <c r="I159" s="55">
        <v>0.99</v>
      </c>
      <c r="J159" s="55">
        <v>0.99</v>
      </c>
      <c r="K159" s="56">
        <v>0.99</v>
      </c>
      <c r="M159" s="54">
        <v>0.98</v>
      </c>
      <c r="N159" s="55">
        <v>0.99</v>
      </c>
      <c r="O159" s="55">
        <v>0.99</v>
      </c>
      <c r="P159" s="55">
        <v>0.99</v>
      </c>
      <c r="Q159" s="55">
        <v>0.98</v>
      </c>
      <c r="R159" s="55">
        <v>0.99</v>
      </c>
      <c r="S159" s="55">
        <v>0.99</v>
      </c>
      <c r="T159" s="56">
        <v>0.99</v>
      </c>
      <c r="V159" s="54">
        <v>0.98</v>
      </c>
      <c r="W159" s="55">
        <v>0.99</v>
      </c>
      <c r="X159" s="55">
        <v>0.99</v>
      </c>
      <c r="Y159" s="55">
        <v>0.99</v>
      </c>
      <c r="Z159" s="55">
        <v>0.98</v>
      </c>
      <c r="AA159" s="55">
        <v>0.99</v>
      </c>
      <c r="AB159" s="55">
        <v>0.99</v>
      </c>
      <c r="AC159" s="56">
        <v>0.99</v>
      </c>
      <c r="AE159" s="54">
        <v>0.98</v>
      </c>
      <c r="AF159" s="55">
        <v>0.99</v>
      </c>
      <c r="AG159" s="55">
        <v>0.99</v>
      </c>
      <c r="AH159" s="55">
        <v>0.99</v>
      </c>
      <c r="AI159" s="55">
        <v>0.99</v>
      </c>
      <c r="AJ159" s="55">
        <v>0.99</v>
      </c>
      <c r="AK159" s="55">
        <v>0.99</v>
      </c>
      <c r="AL159" s="56">
        <v>0.99</v>
      </c>
      <c r="AN159" s="54">
        <v>0.98</v>
      </c>
      <c r="AO159" s="55">
        <v>0.99</v>
      </c>
      <c r="AP159" s="55">
        <v>0.99</v>
      </c>
      <c r="AQ159" s="55">
        <v>0.99</v>
      </c>
      <c r="AR159" s="55">
        <v>0.99</v>
      </c>
      <c r="AS159" s="55">
        <v>0.99</v>
      </c>
      <c r="AT159" s="55">
        <v>0.99</v>
      </c>
      <c r="AU159" s="56">
        <v>0.99</v>
      </c>
      <c r="AW159" s="54">
        <v>0.99</v>
      </c>
      <c r="AX159" s="55">
        <v>0.99</v>
      </c>
      <c r="AY159" s="55">
        <v>0.99</v>
      </c>
      <c r="AZ159" s="55">
        <v>0.99</v>
      </c>
      <c r="BA159" s="55">
        <v>0.99</v>
      </c>
      <c r="BB159" s="55">
        <v>0.99</v>
      </c>
      <c r="BC159" s="55">
        <v>0.99</v>
      </c>
      <c r="BD159" s="56">
        <v>0.99</v>
      </c>
      <c r="BF159" s="54">
        <v>0.99</v>
      </c>
      <c r="BG159" s="55">
        <v>0.99</v>
      </c>
      <c r="BH159" s="55">
        <v>0.99</v>
      </c>
      <c r="BI159" s="55">
        <v>0.99</v>
      </c>
      <c r="BJ159" s="55">
        <v>0.99</v>
      </c>
      <c r="BK159" s="55">
        <v>0.99</v>
      </c>
      <c r="BL159" s="55">
        <v>0.99</v>
      </c>
      <c r="BM159" s="56">
        <v>0.99</v>
      </c>
      <c r="BO159" s="54">
        <v>0.98</v>
      </c>
      <c r="BP159" s="55">
        <v>0.99</v>
      </c>
      <c r="BQ159" s="55">
        <v>0.99</v>
      </c>
      <c r="BR159" s="55">
        <v>0.99</v>
      </c>
      <c r="BS159" s="55">
        <v>0.99</v>
      </c>
      <c r="BT159" s="55">
        <v>0.99</v>
      </c>
      <c r="BU159" s="55">
        <v>0.99</v>
      </c>
      <c r="BV159" s="56">
        <v>0.99</v>
      </c>
    </row>
    <row r="160" spans="2:74" x14ac:dyDescent="0.2">
      <c r="B160" s="653"/>
      <c r="C160" s="44">
        <v>0.4</v>
      </c>
      <c r="D160" s="54">
        <v>0.94</v>
      </c>
      <c r="E160" s="55">
        <v>0.96</v>
      </c>
      <c r="F160" s="55">
        <v>0.97</v>
      </c>
      <c r="G160" s="55">
        <v>0.96</v>
      </c>
      <c r="H160" s="55">
        <v>0.94</v>
      </c>
      <c r="I160" s="55">
        <v>0.96</v>
      </c>
      <c r="J160" s="55">
        <v>0.96</v>
      </c>
      <c r="K160" s="56">
        <v>0.95</v>
      </c>
      <c r="M160" s="54">
        <v>0.94</v>
      </c>
      <c r="N160" s="55">
        <v>0.96</v>
      </c>
      <c r="O160" s="55">
        <v>0.97</v>
      </c>
      <c r="P160" s="55">
        <v>0.96</v>
      </c>
      <c r="Q160" s="55">
        <v>0.94</v>
      </c>
      <c r="R160" s="55">
        <v>0.96</v>
      </c>
      <c r="S160" s="55">
        <v>0.96</v>
      </c>
      <c r="T160" s="56">
        <v>0.95</v>
      </c>
      <c r="V160" s="54">
        <v>0.94</v>
      </c>
      <c r="W160" s="55">
        <v>0.96</v>
      </c>
      <c r="X160" s="55">
        <v>0.97</v>
      </c>
      <c r="Y160" s="55">
        <v>0.96</v>
      </c>
      <c r="Z160" s="55">
        <v>0.94</v>
      </c>
      <c r="AA160" s="55">
        <v>0.96</v>
      </c>
      <c r="AB160" s="55">
        <v>0.96</v>
      </c>
      <c r="AC160" s="56">
        <v>0.95</v>
      </c>
      <c r="AE160" s="54">
        <v>0.94</v>
      </c>
      <c r="AF160" s="55">
        <v>0.97</v>
      </c>
      <c r="AG160" s="55">
        <v>0.97</v>
      </c>
      <c r="AH160" s="55">
        <v>0.96</v>
      </c>
      <c r="AI160" s="55">
        <v>0.97</v>
      </c>
      <c r="AJ160" s="55">
        <v>0.96</v>
      </c>
      <c r="AK160" s="55">
        <v>0.97</v>
      </c>
      <c r="AL160" s="56">
        <v>0.96</v>
      </c>
      <c r="AN160" s="54">
        <v>0.94</v>
      </c>
      <c r="AO160" s="55">
        <v>0.97</v>
      </c>
      <c r="AP160" s="55">
        <v>0.97</v>
      </c>
      <c r="AQ160" s="55">
        <v>0.96</v>
      </c>
      <c r="AR160" s="55">
        <v>0.97</v>
      </c>
      <c r="AS160" s="55">
        <v>0.96</v>
      </c>
      <c r="AT160" s="55">
        <v>0.97</v>
      </c>
      <c r="AU160" s="56">
        <v>0.96</v>
      </c>
      <c r="AW160" s="54">
        <v>0.95</v>
      </c>
      <c r="AX160" s="55">
        <v>0.97</v>
      </c>
      <c r="AY160" s="55">
        <v>0.97</v>
      </c>
      <c r="AZ160" s="55">
        <v>0.96</v>
      </c>
      <c r="BA160" s="55">
        <v>0.97</v>
      </c>
      <c r="BB160" s="55">
        <v>0.96</v>
      </c>
      <c r="BC160" s="55">
        <v>0.97</v>
      </c>
      <c r="BD160" s="56">
        <v>0.96</v>
      </c>
      <c r="BF160" s="54">
        <v>0.95</v>
      </c>
      <c r="BG160" s="55">
        <v>0.97</v>
      </c>
      <c r="BH160" s="55">
        <v>0.97</v>
      </c>
      <c r="BI160" s="55">
        <v>0.96</v>
      </c>
      <c r="BJ160" s="55">
        <v>0.97</v>
      </c>
      <c r="BK160" s="55">
        <v>0.96</v>
      </c>
      <c r="BL160" s="55">
        <v>0.97</v>
      </c>
      <c r="BM160" s="56">
        <v>0.96</v>
      </c>
      <c r="BO160" s="54">
        <v>0.93</v>
      </c>
      <c r="BP160" s="55">
        <v>0.96</v>
      </c>
      <c r="BQ160" s="55">
        <v>0.96</v>
      </c>
      <c r="BR160" s="55">
        <v>0.96</v>
      </c>
      <c r="BS160" s="55">
        <v>0.95</v>
      </c>
      <c r="BT160" s="55">
        <v>0.96</v>
      </c>
      <c r="BU160" s="55">
        <v>0.96</v>
      </c>
      <c r="BV160" s="56">
        <v>0.95</v>
      </c>
    </row>
    <row r="161" spans="2:74" x14ac:dyDescent="0.2">
      <c r="B161" s="653"/>
      <c r="C161" s="44">
        <v>0.6</v>
      </c>
      <c r="D161" s="54">
        <v>0.86</v>
      </c>
      <c r="E161" s="55">
        <v>0.92</v>
      </c>
      <c r="F161" s="55">
        <v>0.93</v>
      </c>
      <c r="G161" s="55">
        <v>0.92</v>
      </c>
      <c r="H161" s="55">
        <v>0.9</v>
      </c>
      <c r="I161" s="55">
        <v>0.91</v>
      </c>
      <c r="J161" s="55">
        <v>0.92</v>
      </c>
      <c r="K161" s="56">
        <v>0.9</v>
      </c>
      <c r="M161" s="54">
        <v>0.86</v>
      </c>
      <c r="N161" s="55">
        <v>0.92</v>
      </c>
      <c r="O161" s="55">
        <v>0.93</v>
      </c>
      <c r="P161" s="55">
        <v>0.92</v>
      </c>
      <c r="Q161" s="55">
        <v>0.9</v>
      </c>
      <c r="R161" s="55">
        <v>0.91</v>
      </c>
      <c r="S161" s="55">
        <v>0.92</v>
      </c>
      <c r="T161" s="56">
        <v>0.9</v>
      </c>
      <c r="V161" s="54">
        <v>0.86</v>
      </c>
      <c r="W161" s="55">
        <v>0.92</v>
      </c>
      <c r="X161" s="55">
        <v>0.93</v>
      </c>
      <c r="Y161" s="55">
        <v>0.92</v>
      </c>
      <c r="Z161" s="55">
        <v>0.9</v>
      </c>
      <c r="AA161" s="55">
        <v>0.91</v>
      </c>
      <c r="AB161" s="55">
        <v>0.92</v>
      </c>
      <c r="AC161" s="56">
        <v>0.9</v>
      </c>
      <c r="AE161" s="54">
        <v>0.88</v>
      </c>
      <c r="AF161" s="55">
        <v>0.92</v>
      </c>
      <c r="AG161" s="55">
        <v>0.93</v>
      </c>
      <c r="AH161" s="55">
        <v>0.93</v>
      </c>
      <c r="AI161" s="55">
        <v>0.94</v>
      </c>
      <c r="AJ161" s="55">
        <v>0.92</v>
      </c>
      <c r="AK161" s="55">
        <v>0.93</v>
      </c>
      <c r="AL161" s="56">
        <v>0.91</v>
      </c>
      <c r="AN161" s="54">
        <v>0.88</v>
      </c>
      <c r="AO161" s="55">
        <v>0.92</v>
      </c>
      <c r="AP161" s="55">
        <v>0.93</v>
      </c>
      <c r="AQ161" s="55">
        <v>0.93</v>
      </c>
      <c r="AR161" s="55">
        <v>0.94</v>
      </c>
      <c r="AS161" s="55">
        <v>0.92</v>
      </c>
      <c r="AT161" s="55">
        <v>0.93</v>
      </c>
      <c r="AU161" s="56">
        <v>0.91</v>
      </c>
      <c r="AW161" s="54">
        <v>0.89</v>
      </c>
      <c r="AX161" s="55">
        <v>0.93</v>
      </c>
      <c r="AY161" s="55">
        <v>0.93</v>
      </c>
      <c r="AZ161" s="55">
        <v>0.93</v>
      </c>
      <c r="BA161" s="55">
        <v>0.94</v>
      </c>
      <c r="BB161" s="55">
        <v>0.92</v>
      </c>
      <c r="BC161" s="55">
        <v>0.93</v>
      </c>
      <c r="BD161" s="56">
        <v>0.91</v>
      </c>
      <c r="BF161" s="54">
        <v>0.89</v>
      </c>
      <c r="BG161" s="55">
        <v>0.93</v>
      </c>
      <c r="BH161" s="55">
        <v>0.93</v>
      </c>
      <c r="BI161" s="55">
        <v>0.93</v>
      </c>
      <c r="BJ161" s="55">
        <v>0.94</v>
      </c>
      <c r="BK161" s="55">
        <v>0.92</v>
      </c>
      <c r="BL161" s="55">
        <v>0.93</v>
      </c>
      <c r="BM161" s="56">
        <v>0.91</v>
      </c>
      <c r="BO161" s="54">
        <v>0.86</v>
      </c>
      <c r="BP161" s="55">
        <v>0.91</v>
      </c>
      <c r="BQ161" s="55">
        <v>0.93</v>
      </c>
      <c r="BR161" s="55">
        <v>0.91</v>
      </c>
      <c r="BS161" s="55">
        <v>0.91</v>
      </c>
      <c r="BT161" s="55">
        <v>0.91</v>
      </c>
      <c r="BU161" s="55">
        <v>0.92</v>
      </c>
      <c r="BV161" s="56">
        <v>0.9</v>
      </c>
    </row>
    <row r="162" spans="2:74" x14ac:dyDescent="0.2">
      <c r="B162" s="653"/>
      <c r="C162" s="44">
        <v>0.8</v>
      </c>
      <c r="D162" s="54">
        <v>0.73</v>
      </c>
      <c r="E162" s="55">
        <v>0.85</v>
      </c>
      <c r="F162" s="55">
        <v>0.88</v>
      </c>
      <c r="G162" s="55">
        <v>0.86</v>
      </c>
      <c r="H162" s="55">
        <v>0.86</v>
      </c>
      <c r="I162" s="55">
        <v>0.86</v>
      </c>
      <c r="J162" s="55">
        <v>0.87</v>
      </c>
      <c r="K162" s="56">
        <v>0.83</v>
      </c>
      <c r="M162" s="54">
        <v>0.73</v>
      </c>
      <c r="N162" s="55">
        <v>0.85</v>
      </c>
      <c r="O162" s="55">
        <v>0.88</v>
      </c>
      <c r="P162" s="55">
        <v>0.86</v>
      </c>
      <c r="Q162" s="55">
        <v>0.86</v>
      </c>
      <c r="R162" s="55">
        <v>0.86</v>
      </c>
      <c r="S162" s="55">
        <v>0.87</v>
      </c>
      <c r="T162" s="56">
        <v>0.83</v>
      </c>
      <c r="V162" s="54">
        <v>0.73</v>
      </c>
      <c r="W162" s="55">
        <v>0.85</v>
      </c>
      <c r="X162" s="55">
        <v>0.88</v>
      </c>
      <c r="Y162" s="55">
        <v>0.86</v>
      </c>
      <c r="Z162" s="55">
        <v>0.86</v>
      </c>
      <c r="AA162" s="55">
        <v>0.86</v>
      </c>
      <c r="AB162" s="55">
        <v>0.87</v>
      </c>
      <c r="AC162" s="56">
        <v>0.83</v>
      </c>
      <c r="AE162" s="54">
        <v>0.82</v>
      </c>
      <c r="AF162" s="55">
        <v>0.87</v>
      </c>
      <c r="AG162" s="55">
        <v>0.88</v>
      </c>
      <c r="AH162" s="55">
        <v>0.88</v>
      </c>
      <c r="AI162" s="55">
        <v>0.91</v>
      </c>
      <c r="AJ162" s="55">
        <v>0.88</v>
      </c>
      <c r="AK162" s="55">
        <v>0.88</v>
      </c>
      <c r="AL162" s="56">
        <v>0.85</v>
      </c>
      <c r="AN162" s="54">
        <v>0.82</v>
      </c>
      <c r="AO162" s="55">
        <v>0.87</v>
      </c>
      <c r="AP162" s="55">
        <v>0.88</v>
      </c>
      <c r="AQ162" s="55">
        <v>0.88</v>
      </c>
      <c r="AR162" s="55">
        <v>0.91</v>
      </c>
      <c r="AS162" s="55">
        <v>0.88</v>
      </c>
      <c r="AT162" s="55">
        <v>0.88</v>
      </c>
      <c r="AU162" s="56">
        <v>0.85</v>
      </c>
      <c r="AW162" s="54">
        <v>0.82</v>
      </c>
      <c r="AX162" s="55">
        <v>0.87</v>
      </c>
      <c r="AY162" s="55">
        <v>0.88</v>
      </c>
      <c r="AZ162" s="55">
        <v>0.88</v>
      </c>
      <c r="BA162" s="55">
        <v>0.9</v>
      </c>
      <c r="BB162" s="55">
        <v>0.88</v>
      </c>
      <c r="BC162" s="55">
        <v>0.87</v>
      </c>
      <c r="BD162" s="56">
        <v>0.85</v>
      </c>
      <c r="BF162" s="54">
        <v>0.82</v>
      </c>
      <c r="BG162" s="55">
        <v>0.87</v>
      </c>
      <c r="BH162" s="55">
        <v>0.88</v>
      </c>
      <c r="BI162" s="55">
        <v>0.88</v>
      </c>
      <c r="BJ162" s="55">
        <v>0.9</v>
      </c>
      <c r="BK162" s="55">
        <v>0.88</v>
      </c>
      <c r="BL162" s="55">
        <v>0.87</v>
      </c>
      <c r="BM162" s="56">
        <v>0.85</v>
      </c>
      <c r="BO162" s="54">
        <v>0.78</v>
      </c>
      <c r="BP162" s="55">
        <v>0.84</v>
      </c>
      <c r="BQ162" s="55">
        <v>0.87</v>
      </c>
      <c r="BR162" s="55">
        <v>0.86</v>
      </c>
      <c r="BS162" s="55">
        <v>0.87</v>
      </c>
      <c r="BT162" s="55">
        <v>0.86</v>
      </c>
      <c r="BU162" s="55">
        <v>0.87</v>
      </c>
      <c r="BV162" s="56">
        <v>0.83</v>
      </c>
    </row>
    <row r="163" spans="2:74" x14ac:dyDescent="0.2">
      <c r="B163" s="653"/>
      <c r="C163" s="44">
        <v>1</v>
      </c>
      <c r="D163" s="54">
        <v>0.59</v>
      </c>
      <c r="E163" s="55">
        <v>0.87</v>
      </c>
      <c r="F163" s="55">
        <v>0.83</v>
      </c>
      <c r="G163" s="55">
        <v>0.8</v>
      </c>
      <c r="H163" s="55">
        <v>0.82</v>
      </c>
      <c r="I163" s="55">
        <v>0.81</v>
      </c>
      <c r="J163" s="55">
        <v>0.81</v>
      </c>
      <c r="K163" s="56">
        <v>0.76</v>
      </c>
      <c r="M163" s="54">
        <v>0.59</v>
      </c>
      <c r="N163" s="55">
        <v>0.87</v>
      </c>
      <c r="O163" s="55">
        <v>0.83</v>
      </c>
      <c r="P163" s="55">
        <v>0.8</v>
      </c>
      <c r="Q163" s="55">
        <v>0.82</v>
      </c>
      <c r="R163" s="55">
        <v>0.81</v>
      </c>
      <c r="S163" s="55">
        <v>0.81</v>
      </c>
      <c r="T163" s="56">
        <v>0.76</v>
      </c>
      <c r="V163" s="54">
        <v>0.59</v>
      </c>
      <c r="W163" s="55">
        <v>0.87</v>
      </c>
      <c r="X163" s="55">
        <v>0.83</v>
      </c>
      <c r="Y163" s="55">
        <v>0.8</v>
      </c>
      <c r="Z163" s="55">
        <v>0.82</v>
      </c>
      <c r="AA163" s="55">
        <v>0.81</v>
      </c>
      <c r="AB163" s="55">
        <v>0.81</v>
      </c>
      <c r="AC163" s="56">
        <v>0.76</v>
      </c>
      <c r="AE163" s="54">
        <v>0.72</v>
      </c>
      <c r="AF163" s="55">
        <v>0.8</v>
      </c>
      <c r="AG163" s="55">
        <v>0.83</v>
      </c>
      <c r="AH163" s="55">
        <v>0.82</v>
      </c>
      <c r="AI163" s="55">
        <v>0.88</v>
      </c>
      <c r="AJ163" s="55">
        <v>0.83</v>
      </c>
      <c r="AK163" s="55">
        <v>0.82</v>
      </c>
      <c r="AL163" s="56">
        <v>0.77</v>
      </c>
      <c r="AN163" s="54">
        <v>0.72</v>
      </c>
      <c r="AO163" s="55">
        <v>0.8</v>
      </c>
      <c r="AP163" s="55">
        <v>0.83</v>
      </c>
      <c r="AQ163" s="55">
        <v>0.82</v>
      </c>
      <c r="AR163" s="55">
        <v>0.88</v>
      </c>
      <c r="AS163" s="55">
        <v>0.83</v>
      </c>
      <c r="AT163" s="55">
        <v>0.82</v>
      </c>
      <c r="AU163" s="56">
        <v>0.77</v>
      </c>
      <c r="AW163" s="54">
        <v>0.75</v>
      </c>
      <c r="AX163" s="55">
        <v>0.81</v>
      </c>
      <c r="AY163" s="55">
        <v>0.83</v>
      </c>
      <c r="AZ163" s="55">
        <v>0.83</v>
      </c>
      <c r="BA163" s="55">
        <v>0.87</v>
      </c>
      <c r="BB163" s="55">
        <v>0.83</v>
      </c>
      <c r="BC163" s="55">
        <v>0.82</v>
      </c>
      <c r="BD163" s="56">
        <v>0.78</v>
      </c>
      <c r="BF163" s="54">
        <v>0.75</v>
      </c>
      <c r="BG163" s="55">
        <v>0.81</v>
      </c>
      <c r="BH163" s="55">
        <v>0.83</v>
      </c>
      <c r="BI163" s="55">
        <v>0.83</v>
      </c>
      <c r="BJ163" s="55">
        <v>0.87</v>
      </c>
      <c r="BK163" s="55">
        <v>0.83</v>
      </c>
      <c r="BL163" s="55">
        <v>0.82</v>
      </c>
      <c r="BM163" s="56">
        <v>0.78</v>
      </c>
      <c r="BO163" s="54">
        <v>0.69</v>
      </c>
      <c r="BP163" s="55">
        <v>0.77</v>
      </c>
      <c r="BQ163" s="55">
        <v>0.82</v>
      </c>
      <c r="BR163" s="55">
        <v>0.8</v>
      </c>
      <c r="BS163" s="55">
        <v>0.82</v>
      </c>
      <c r="BT163" s="55">
        <v>0.81</v>
      </c>
      <c r="BU163" s="55">
        <v>0.81</v>
      </c>
      <c r="BV163" s="56">
        <v>0.76</v>
      </c>
    </row>
    <row r="164" spans="2:74" ht="12.75" customHeight="1" x14ac:dyDescent="0.2">
      <c r="B164" s="653"/>
      <c r="C164" s="44">
        <v>1.2</v>
      </c>
      <c r="D164" s="54">
        <v>0.51</v>
      </c>
      <c r="E164" s="55">
        <v>0.7</v>
      </c>
      <c r="F164" s="55">
        <v>0.76</v>
      </c>
      <c r="G164" s="55">
        <v>0.75</v>
      </c>
      <c r="H164" s="55">
        <v>0.79</v>
      </c>
      <c r="I164" s="55">
        <v>0.76</v>
      </c>
      <c r="J164" s="55">
        <v>0.75</v>
      </c>
      <c r="K164" s="56">
        <v>0.69</v>
      </c>
      <c r="M164" s="54">
        <v>0.51</v>
      </c>
      <c r="N164" s="55">
        <v>0.7</v>
      </c>
      <c r="O164" s="55">
        <v>0.76</v>
      </c>
      <c r="P164" s="55">
        <v>0.75</v>
      </c>
      <c r="Q164" s="55">
        <v>0.79</v>
      </c>
      <c r="R164" s="55">
        <v>0.76</v>
      </c>
      <c r="S164" s="55">
        <v>0.75</v>
      </c>
      <c r="T164" s="56">
        <v>0.69</v>
      </c>
      <c r="V164" s="54">
        <v>0.51</v>
      </c>
      <c r="W164" s="55">
        <v>0.7</v>
      </c>
      <c r="X164" s="55">
        <v>0.76</v>
      </c>
      <c r="Y164" s="55">
        <v>0.75</v>
      </c>
      <c r="Z164" s="55">
        <v>0.79</v>
      </c>
      <c r="AA164" s="55">
        <v>0.76</v>
      </c>
      <c r="AB164" s="55">
        <v>0.75</v>
      </c>
      <c r="AC164" s="56">
        <v>0.69</v>
      </c>
      <c r="AE164" s="54">
        <v>0.63</v>
      </c>
      <c r="AF164" s="55">
        <v>0.72</v>
      </c>
      <c r="AG164" s="55">
        <v>0.77</v>
      </c>
      <c r="AH164" s="55">
        <v>0.77</v>
      </c>
      <c r="AI164" s="55">
        <v>0.85</v>
      </c>
      <c r="AJ164" s="55">
        <v>0.78</v>
      </c>
      <c r="AK164" s="55">
        <v>0.76</v>
      </c>
      <c r="AL164" s="56">
        <v>0.7</v>
      </c>
      <c r="AN164" s="54">
        <v>0.63</v>
      </c>
      <c r="AO164" s="55">
        <v>0.72</v>
      </c>
      <c r="AP164" s="55">
        <v>0.77</v>
      </c>
      <c r="AQ164" s="55">
        <v>0.77</v>
      </c>
      <c r="AR164" s="55">
        <v>0.85</v>
      </c>
      <c r="AS164" s="55">
        <v>0.78</v>
      </c>
      <c r="AT164" s="55">
        <v>0.76</v>
      </c>
      <c r="AU164" s="56">
        <v>0.7</v>
      </c>
      <c r="AW164" s="54">
        <v>0.67</v>
      </c>
      <c r="AX164" s="55">
        <v>0.74</v>
      </c>
      <c r="AY164" s="55">
        <v>0.78</v>
      </c>
      <c r="AZ164" s="55">
        <v>0.79</v>
      </c>
      <c r="BA164" s="55">
        <v>0.83</v>
      </c>
      <c r="BB164" s="55">
        <v>0.78</v>
      </c>
      <c r="BC164" s="55">
        <v>0.76</v>
      </c>
      <c r="BD164" s="56">
        <v>0.7</v>
      </c>
      <c r="BF164" s="54">
        <v>0.67</v>
      </c>
      <c r="BG164" s="55">
        <v>0.74</v>
      </c>
      <c r="BH164" s="55">
        <v>0.78</v>
      </c>
      <c r="BI164" s="55">
        <v>0.79</v>
      </c>
      <c r="BJ164" s="55">
        <v>0.83</v>
      </c>
      <c r="BK164" s="55">
        <v>0.78</v>
      </c>
      <c r="BL164" s="55">
        <v>0.76</v>
      </c>
      <c r="BM164" s="56">
        <v>0.7</v>
      </c>
      <c r="BO164" s="54">
        <v>0.6</v>
      </c>
      <c r="BP164" s="55">
        <v>0.69</v>
      </c>
      <c r="BQ164" s="55">
        <v>0.75</v>
      </c>
      <c r="BR164" s="55">
        <v>0.75</v>
      </c>
      <c r="BS164" s="55">
        <v>0.78</v>
      </c>
      <c r="BT164" s="55">
        <v>0.76</v>
      </c>
      <c r="BU164" s="55">
        <v>0.76</v>
      </c>
      <c r="BV164" s="56">
        <v>0.68</v>
      </c>
    </row>
    <row r="165" spans="2:74" x14ac:dyDescent="0.2">
      <c r="B165" s="653"/>
      <c r="C165" s="44">
        <v>1.4</v>
      </c>
      <c r="D165" s="54">
        <v>0.44</v>
      </c>
      <c r="E165" s="55">
        <v>0.63</v>
      </c>
      <c r="F165" s="55">
        <v>0.71</v>
      </c>
      <c r="G165" s="55">
        <v>0.7</v>
      </c>
      <c r="H165" s="55">
        <v>0.76</v>
      </c>
      <c r="I165" s="55">
        <v>0.71</v>
      </c>
      <c r="J165" s="55">
        <v>0.7</v>
      </c>
      <c r="K165" s="56">
        <v>0.62</v>
      </c>
      <c r="M165" s="54">
        <v>0.44</v>
      </c>
      <c r="N165" s="55">
        <v>0.63</v>
      </c>
      <c r="O165" s="55">
        <v>0.71</v>
      </c>
      <c r="P165" s="55">
        <v>0.7</v>
      </c>
      <c r="Q165" s="55">
        <v>0.76</v>
      </c>
      <c r="R165" s="55">
        <v>0.71</v>
      </c>
      <c r="S165" s="55">
        <v>0.7</v>
      </c>
      <c r="T165" s="56">
        <v>0.62</v>
      </c>
      <c r="V165" s="54">
        <v>0.44</v>
      </c>
      <c r="W165" s="55">
        <v>0.63</v>
      </c>
      <c r="X165" s="55">
        <v>0.71</v>
      </c>
      <c r="Y165" s="55">
        <v>0.7</v>
      </c>
      <c r="Z165" s="55">
        <v>0.76</v>
      </c>
      <c r="AA165" s="55">
        <v>0.71</v>
      </c>
      <c r="AB165" s="55">
        <v>0.7</v>
      </c>
      <c r="AC165" s="56">
        <v>0.62</v>
      </c>
      <c r="AE165" s="54">
        <v>0.53</v>
      </c>
      <c r="AF165" s="55">
        <v>0.65</v>
      </c>
      <c r="AG165" s="55">
        <v>0.72</v>
      </c>
      <c r="AH165" s="55">
        <v>0.73</v>
      </c>
      <c r="AI165" s="55">
        <v>0.82</v>
      </c>
      <c r="AJ165" s="55">
        <v>0.74</v>
      </c>
      <c r="AK165" s="55">
        <v>0.71</v>
      </c>
      <c r="AL165" s="56">
        <v>0.63</v>
      </c>
      <c r="AN165" s="54">
        <v>0.53</v>
      </c>
      <c r="AO165" s="55">
        <v>0.65</v>
      </c>
      <c r="AP165" s="55">
        <v>0.72</v>
      </c>
      <c r="AQ165" s="55">
        <v>0.73</v>
      </c>
      <c r="AR165" s="55">
        <v>0.82</v>
      </c>
      <c r="AS165" s="55">
        <v>0.74</v>
      </c>
      <c r="AT165" s="55">
        <v>0.71</v>
      </c>
      <c r="AU165" s="56">
        <v>0.63</v>
      </c>
      <c r="AW165" s="54">
        <v>0.59</v>
      </c>
      <c r="AX165" s="55">
        <v>0.68</v>
      </c>
      <c r="AY165" s="55">
        <v>0.72</v>
      </c>
      <c r="AZ165" s="55">
        <v>0.74</v>
      </c>
      <c r="BA165" s="55">
        <v>0.8</v>
      </c>
      <c r="BB165" s="55">
        <v>0.74</v>
      </c>
      <c r="BC165" s="55">
        <v>0.71</v>
      </c>
      <c r="BD165" s="56">
        <v>0.63</v>
      </c>
      <c r="BF165" s="54">
        <v>0.59</v>
      </c>
      <c r="BG165" s="55">
        <v>0.68</v>
      </c>
      <c r="BH165" s="55">
        <v>0.72</v>
      </c>
      <c r="BI165" s="55">
        <v>0.74</v>
      </c>
      <c r="BJ165" s="55">
        <v>0.8</v>
      </c>
      <c r="BK165" s="55">
        <v>0.74</v>
      </c>
      <c r="BL165" s="55">
        <v>0.71</v>
      </c>
      <c r="BM165" s="56">
        <v>0.63</v>
      </c>
      <c r="BO165" s="54">
        <v>0.54</v>
      </c>
      <c r="BP165" s="55">
        <v>0.62</v>
      </c>
      <c r="BQ165" s="55">
        <v>0.69</v>
      </c>
      <c r="BR165" s="55">
        <v>0.7</v>
      </c>
      <c r="BS165" s="55">
        <v>0.74</v>
      </c>
      <c r="BT165" s="55">
        <v>0.72</v>
      </c>
      <c r="BU165" s="55">
        <v>0.7</v>
      </c>
      <c r="BV165" s="56">
        <v>0.62</v>
      </c>
    </row>
    <row r="166" spans="2:74" x14ac:dyDescent="0.2">
      <c r="B166" s="653"/>
      <c r="C166" s="44">
        <v>1.6</v>
      </c>
      <c r="D166" s="54">
        <v>0.38</v>
      </c>
      <c r="E166" s="55">
        <v>0.56999999999999995</v>
      </c>
      <c r="F166" s="55">
        <v>0.65</v>
      </c>
      <c r="G166" s="55">
        <v>0.64</v>
      </c>
      <c r="H166" s="55">
        <v>0.73</v>
      </c>
      <c r="I166" s="55">
        <v>0.67</v>
      </c>
      <c r="J166" s="55">
        <v>0.64</v>
      </c>
      <c r="K166" s="56">
        <v>0.56000000000000005</v>
      </c>
      <c r="M166" s="54">
        <v>0.38</v>
      </c>
      <c r="N166" s="55">
        <v>0.56999999999999995</v>
      </c>
      <c r="O166" s="55">
        <v>0.65</v>
      </c>
      <c r="P166" s="55">
        <v>0.64</v>
      </c>
      <c r="Q166" s="55">
        <v>0.73</v>
      </c>
      <c r="R166" s="55">
        <v>0.67</v>
      </c>
      <c r="S166" s="55">
        <v>0.64</v>
      </c>
      <c r="T166" s="56">
        <v>0.56000000000000005</v>
      </c>
      <c r="V166" s="54">
        <v>0.38</v>
      </c>
      <c r="W166" s="55">
        <v>0.56999999999999995</v>
      </c>
      <c r="X166" s="55">
        <v>0.65</v>
      </c>
      <c r="Y166" s="55">
        <v>0.64</v>
      </c>
      <c r="Z166" s="55">
        <v>0.73</v>
      </c>
      <c r="AA166" s="55">
        <v>0.67</v>
      </c>
      <c r="AB166" s="55">
        <v>0.64</v>
      </c>
      <c r="AC166" s="56">
        <v>0.56000000000000005</v>
      </c>
      <c r="AE166" s="54">
        <v>0.45</v>
      </c>
      <c r="AF166" s="55">
        <v>0.59</v>
      </c>
      <c r="AG166" s="55">
        <v>0.67</v>
      </c>
      <c r="AH166" s="55">
        <v>0.67</v>
      </c>
      <c r="AI166" s="55">
        <v>0.79</v>
      </c>
      <c r="AJ166" s="55">
        <v>0.7</v>
      </c>
      <c r="AK166" s="55">
        <v>0.66</v>
      </c>
      <c r="AL166" s="56">
        <v>0.56000000000000005</v>
      </c>
      <c r="AN166" s="54">
        <v>0.45</v>
      </c>
      <c r="AO166" s="55">
        <v>0.59</v>
      </c>
      <c r="AP166" s="55">
        <v>0.67</v>
      </c>
      <c r="AQ166" s="55">
        <v>0.67</v>
      </c>
      <c r="AR166" s="55">
        <v>0.79</v>
      </c>
      <c r="AS166" s="55">
        <v>0.7</v>
      </c>
      <c r="AT166" s="55">
        <v>0.66</v>
      </c>
      <c r="AU166" s="56">
        <v>0.56000000000000005</v>
      </c>
      <c r="AW166" s="54">
        <v>0.52</v>
      </c>
      <c r="AX166" s="55">
        <v>0.61</v>
      </c>
      <c r="AY166" s="55">
        <v>0.67</v>
      </c>
      <c r="AZ166" s="55">
        <v>0.7</v>
      </c>
      <c r="BA166" s="55">
        <v>0.77</v>
      </c>
      <c r="BB166" s="55">
        <v>0.7</v>
      </c>
      <c r="BC166" s="55">
        <v>0.66</v>
      </c>
      <c r="BD166" s="56">
        <v>0.56999999999999995</v>
      </c>
      <c r="BF166" s="54">
        <v>0.52</v>
      </c>
      <c r="BG166" s="55">
        <v>0.61</v>
      </c>
      <c r="BH166" s="55">
        <v>0.67</v>
      </c>
      <c r="BI166" s="55">
        <v>0.7</v>
      </c>
      <c r="BJ166" s="55">
        <v>0.77</v>
      </c>
      <c r="BK166" s="55">
        <v>0.7</v>
      </c>
      <c r="BL166" s="55">
        <v>0.66</v>
      </c>
      <c r="BM166" s="56">
        <v>0.56999999999999995</v>
      </c>
      <c r="BO166" s="54">
        <v>0.49</v>
      </c>
      <c r="BP166" s="55">
        <v>0.55000000000000004</v>
      </c>
      <c r="BQ166" s="55">
        <v>0.65</v>
      </c>
      <c r="BR166" s="55">
        <v>0.65</v>
      </c>
      <c r="BS166" s="55">
        <v>0.71</v>
      </c>
      <c r="BT166" s="55">
        <v>0.68</v>
      </c>
      <c r="BU166" s="55">
        <v>0.66</v>
      </c>
      <c r="BV166" s="56">
        <v>0.56000000000000005</v>
      </c>
    </row>
    <row r="167" spans="2:74" x14ac:dyDescent="0.2">
      <c r="B167" s="653"/>
      <c r="C167" s="44">
        <v>1.8</v>
      </c>
      <c r="D167" s="54">
        <v>0.34</v>
      </c>
      <c r="E167" s="55">
        <v>0.52</v>
      </c>
      <c r="F167" s="55">
        <v>0.6</v>
      </c>
      <c r="G167" s="55">
        <v>0.6</v>
      </c>
      <c r="H167" s="55">
        <v>0.7</v>
      </c>
      <c r="I167" s="55">
        <v>0.63</v>
      </c>
      <c r="J167" s="55">
        <v>0.6</v>
      </c>
      <c r="K167" s="56">
        <v>0.51</v>
      </c>
      <c r="M167" s="54">
        <v>0.34</v>
      </c>
      <c r="N167" s="55">
        <v>0.52</v>
      </c>
      <c r="O167" s="55">
        <v>0.6</v>
      </c>
      <c r="P167" s="55">
        <v>0.6</v>
      </c>
      <c r="Q167" s="55">
        <v>0.7</v>
      </c>
      <c r="R167" s="55">
        <v>0.63</v>
      </c>
      <c r="S167" s="55">
        <v>0.6</v>
      </c>
      <c r="T167" s="56">
        <v>0.51</v>
      </c>
      <c r="V167" s="54">
        <v>0.34</v>
      </c>
      <c r="W167" s="55">
        <v>0.52</v>
      </c>
      <c r="X167" s="55">
        <v>0.6</v>
      </c>
      <c r="Y167" s="55">
        <v>0.6</v>
      </c>
      <c r="Z167" s="55">
        <v>0.7</v>
      </c>
      <c r="AA167" s="55">
        <v>0.63</v>
      </c>
      <c r="AB167" s="55">
        <v>0.6</v>
      </c>
      <c r="AC167" s="56">
        <v>0.51</v>
      </c>
      <c r="AE167" s="54">
        <v>0.4</v>
      </c>
      <c r="AF167" s="55">
        <v>0.53</v>
      </c>
      <c r="AG167" s="55">
        <v>0.62</v>
      </c>
      <c r="AH167" s="55">
        <v>0.63</v>
      </c>
      <c r="AI167" s="55">
        <v>0.77</v>
      </c>
      <c r="AJ167" s="55">
        <v>0.66</v>
      </c>
      <c r="AK167" s="55">
        <v>0.61</v>
      </c>
      <c r="AL167" s="56">
        <v>0.5</v>
      </c>
      <c r="AN167" s="54">
        <v>0.4</v>
      </c>
      <c r="AO167" s="55">
        <v>0.53</v>
      </c>
      <c r="AP167" s="55">
        <v>0.62</v>
      </c>
      <c r="AQ167" s="55">
        <v>0.63</v>
      </c>
      <c r="AR167" s="55">
        <v>0.77</v>
      </c>
      <c r="AS167" s="55">
        <v>0.66</v>
      </c>
      <c r="AT167" s="55">
        <v>0.61</v>
      </c>
      <c r="AU167" s="56">
        <v>0.5</v>
      </c>
      <c r="AW167" s="54">
        <v>0.47</v>
      </c>
      <c r="AX167" s="55">
        <v>0.56000000000000005</v>
      </c>
      <c r="AY167" s="55">
        <v>0.63</v>
      </c>
      <c r="AZ167" s="55">
        <v>0.66</v>
      </c>
      <c r="BA167" s="55">
        <v>0.75</v>
      </c>
      <c r="BB167" s="55">
        <v>0.66</v>
      </c>
      <c r="BC167" s="55">
        <v>0.61</v>
      </c>
      <c r="BD167" s="56">
        <v>0.52</v>
      </c>
      <c r="BF167" s="54">
        <v>0.47</v>
      </c>
      <c r="BG167" s="55">
        <v>0.56000000000000005</v>
      </c>
      <c r="BH167" s="55">
        <v>0.63</v>
      </c>
      <c r="BI167" s="55">
        <v>0.66</v>
      </c>
      <c r="BJ167" s="55">
        <v>0.75</v>
      </c>
      <c r="BK167" s="55">
        <v>0.66</v>
      </c>
      <c r="BL167" s="55">
        <v>0.61</v>
      </c>
      <c r="BM167" s="56">
        <v>0.52</v>
      </c>
      <c r="BO167" s="54">
        <v>0.47</v>
      </c>
      <c r="BP167" s="55">
        <v>0.5</v>
      </c>
      <c r="BQ167" s="55">
        <v>0.6</v>
      </c>
      <c r="BR167" s="55">
        <v>0.62</v>
      </c>
      <c r="BS167" s="55">
        <v>0.69</v>
      </c>
      <c r="BT167" s="55">
        <v>0.64</v>
      </c>
      <c r="BU167" s="55">
        <v>0.61</v>
      </c>
      <c r="BV167" s="56">
        <v>0.52</v>
      </c>
    </row>
    <row r="168" spans="2:74" x14ac:dyDescent="0.2">
      <c r="B168" s="654"/>
      <c r="C168" s="45">
        <v>2</v>
      </c>
      <c r="D168" s="57">
        <v>0.3</v>
      </c>
      <c r="E168" s="58">
        <v>0.46</v>
      </c>
      <c r="F168" s="58">
        <v>0.55000000000000004</v>
      </c>
      <c r="G168" s="58">
        <v>0.56000000000000005</v>
      </c>
      <c r="H168" s="58">
        <v>0.67</v>
      </c>
      <c r="I168" s="58">
        <v>0.6</v>
      </c>
      <c r="J168" s="58">
        <v>0.55000000000000004</v>
      </c>
      <c r="K168" s="59">
        <v>0.46</v>
      </c>
      <c r="M168" s="57">
        <v>0.3</v>
      </c>
      <c r="N168" s="58">
        <v>0.46</v>
      </c>
      <c r="O168" s="58">
        <v>0.55000000000000004</v>
      </c>
      <c r="P168" s="58">
        <v>0.56000000000000005</v>
      </c>
      <c r="Q168" s="58">
        <v>0.67</v>
      </c>
      <c r="R168" s="58">
        <v>0.6</v>
      </c>
      <c r="S168" s="58">
        <v>0.55000000000000004</v>
      </c>
      <c r="T168" s="59">
        <v>0.46</v>
      </c>
      <c r="V168" s="57">
        <v>0.3</v>
      </c>
      <c r="W168" s="58">
        <v>0.46</v>
      </c>
      <c r="X168" s="58">
        <v>0.55000000000000004</v>
      </c>
      <c r="Y168" s="58">
        <v>0.56000000000000005</v>
      </c>
      <c r="Z168" s="58">
        <v>0.67</v>
      </c>
      <c r="AA168" s="58">
        <v>0.6</v>
      </c>
      <c r="AB168" s="58">
        <v>0.55000000000000004</v>
      </c>
      <c r="AC168" s="59">
        <v>0.46</v>
      </c>
      <c r="AE168" s="57">
        <v>0.36</v>
      </c>
      <c r="AF168" s="58">
        <v>0.48</v>
      </c>
      <c r="AG168" s="58">
        <v>0.56999999999999995</v>
      </c>
      <c r="AH168" s="58">
        <v>0.59</v>
      </c>
      <c r="AI168" s="58">
        <v>0.74</v>
      </c>
      <c r="AJ168" s="58">
        <v>0.62</v>
      </c>
      <c r="AK168" s="58">
        <v>0.56000000000000005</v>
      </c>
      <c r="AL168" s="59">
        <v>0.45</v>
      </c>
      <c r="AN168" s="57">
        <v>0.36</v>
      </c>
      <c r="AO168" s="58">
        <v>0.48</v>
      </c>
      <c r="AP168" s="58">
        <v>0.56999999999999995</v>
      </c>
      <c r="AQ168" s="58">
        <v>0.59</v>
      </c>
      <c r="AR168" s="58">
        <v>0.74</v>
      </c>
      <c r="AS168" s="58">
        <v>0.62</v>
      </c>
      <c r="AT168" s="58">
        <v>0.56000000000000005</v>
      </c>
      <c r="AU168" s="59">
        <v>0.45</v>
      </c>
      <c r="AW168" s="57">
        <v>0.43</v>
      </c>
      <c r="AX168" s="58">
        <v>0.51</v>
      </c>
      <c r="AY168" s="58">
        <v>0.57999999999999996</v>
      </c>
      <c r="AZ168" s="58">
        <v>0.62</v>
      </c>
      <c r="BA168" s="58">
        <v>0.73</v>
      </c>
      <c r="BB168" s="58">
        <v>0.63</v>
      </c>
      <c r="BC168" s="58">
        <v>0.56999999999999995</v>
      </c>
      <c r="BD168" s="59">
        <v>0.47</v>
      </c>
      <c r="BF168" s="57">
        <v>0.43</v>
      </c>
      <c r="BG168" s="58">
        <v>0.51</v>
      </c>
      <c r="BH168" s="58">
        <v>0.57999999999999996</v>
      </c>
      <c r="BI168" s="58">
        <v>0.62</v>
      </c>
      <c r="BJ168" s="58">
        <v>0.73</v>
      </c>
      <c r="BK168" s="58">
        <v>0.63</v>
      </c>
      <c r="BL168" s="58">
        <v>0.56999999999999995</v>
      </c>
      <c r="BM168" s="59">
        <v>0.47</v>
      </c>
      <c r="BO168" s="57">
        <v>0.45</v>
      </c>
      <c r="BP168" s="58">
        <v>0.46</v>
      </c>
      <c r="BQ168" s="58">
        <v>0.55000000000000004</v>
      </c>
      <c r="BR168" s="58">
        <v>0.57999999999999996</v>
      </c>
      <c r="BS168" s="58">
        <v>0.67</v>
      </c>
      <c r="BT168" s="58">
        <v>0.61</v>
      </c>
      <c r="BU168" s="58">
        <v>0.56999999999999995</v>
      </c>
      <c r="BV168" s="59">
        <v>0.48</v>
      </c>
    </row>
    <row r="172" spans="2:74" ht="22.5" x14ac:dyDescent="0.2">
      <c r="B172" s="111" t="s">
        <v>248</v>
      </c>
      <c r="C172" s="112" t="s">
        <v>108</v>
      </c>
      <c r="D172" s="111" t="s">
        <v>109</v>
      </c>
    </row>
    <row r="173" spans="2:74" ht="25.5" x14ac:dyDescent="0.2">
      <c r="B173" s="110" t="s">
        <v>375</v>
      </c>
      <c r="C173" s="496">
        <v>1.7989999999999999</v>
      </c>
      <c r="D173" s="114">
        <v>33</v>
      </c>
    </row>
    <row r="174" spans="2:74" ht="25.5" x14ac:dyDescent="0.2">
      <c r="B174" s="110" t="s">
        <v>373</v>
      </c>
      <c r="C174" s="113">
        <v>1.2</v>
      </c>
      <c r="D174" s="114">
        <v>22</v>
      </c>
    </row>
    <row r="175" spans="2:74" ht="25.5" x14ac:dyDescent="0.2">
      <c r="B175" s="110" t="s">
        <v>372</v>
      </c>
      <c r="C175" s="113">
        <v>0.5</v>
      </c>
      <c r="D175" s="114">
        <v>11</v>
      </c>
    </row>
    <row r="176" spans="2:74" x14ac:dyDescent="0.2">
      <c r="B176" s="110" t="s">
        <v>371</v>
      </c>
      <c r="C176" s="113">
        <v>0.1</v>
      </c>
      <c r="D176" s="114">
        <v>0</v>
      </c>
    </row>
    <row r="177" spans="2:4" x14ac:dyDescent="0.2">
      <c r="B177" s="110"/>
      <c r="C177" s="319" t="s">
        <v>249</v>
      </c>
      <c r="D177" s="303" t="s">
        <v>250</v>
      </c>
    </row>
    <row r="178" spans="2:4" x14ac:dyDescent="0.2">
      <c r="C178" s="2" t="s">
        <v>252</v>
      </c>
    </row>
  </sheetData>
  <sheetProtection password="EFF1" sheet="1" objects="1" scenarios="1" selectLockedCells="1" selectUnlockedCells="1"/>
  <mergeCells count="12">
    <mergeCell ref="B158:B168"/>
    <mergeCell ref="B105:B115"/>
    <mergeCell ref="B26:B27"/>
    <mergeCell ref="B28:B29"/>
    <mergeCell ref="B30:B31"/>
    <mergeCell ref="B136:B146"/>
    <mergeCell ref="B94:B104"/>
    <mergeCell ref="C37:C39"/>
    <mergeCell ref="B72:B82"/>
    <mergeCell ref="B83:B93"/>
    <mergeCell ref="B125:B135"/>
    <mergeCell ref="B147:B157"/>
  </mergeCells>
  <phoneticPr fontId="2"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109</vt:i4>
      </vt:variant>
    </vt:vector>
  </HeadingPairs>
  <TitlesOfParts>
    <vt:vector size="113" baseType="lpstr">
      <vt:lpstr>Help</vt:lpstr>
      <vt:lpstr>Screenshots</vt:lpstr>
      <vt:lpstr>Calculator</vt:lpstr>
      <vt:lpstr>Tables</vt:lpstr>
      <vt:lpstr>ActiveA</vt:lpstr>
      <vt:lpstr>ActiveB</vt:lpstr>
      <vt:lpstr>ActiveDisplayed</vt:lpstr>
      <vt:lpstr>ActiveHidden</vt:lpstr>
      <vt:lpstr>ActiveOrientations</vt:lpstr>
      <vt:lpstr>ActiveOrientationsLowR</vt:lpstr>
      <vt:lpstr>AdviceIssuesOnly</vt:lpstr>
      <vt:lpstr>Aggregates</vt:lpstr>
      <vt:lpstr>AggregatesLowR</vt:lpstr>
      <vt:lpstr>AllErrors</vt:lpstr>
      <vt:lpstr>AllInputsOK</vt:lpstr>
      <vt:lpstr>Allowances</vt:lpstr>
      <vt:lpstr>AllowancesLowR</vt:lpstr>
      <vt:lpstr>Application</vt:lpstr>
      <vt:lpstr>AreaUsed</vt:lpstr>
      <vt:lpstr>BinZone8</vt:lpstr>
      <vt:lpstr>Building</vt:lpstr>
      <vt:lpstr>ComplianceErrors</vt:lpstr>
      <vt:lpstr>ComplianceErrorsLowR</vt:lpstr>
      <vt:lpstr>ComplianceErrorsTotal</vt:lpstr>
      <vt:lpstr>Constants</vt:lpstr>
      <vt:lpstr>DudPerformance</vt:lpstr>
      <vt:lpstr>DudSector</vt:lpstr>
      <vt:lpstr>DudShading</vt:lpstr>
      <vt:lpstr>DudSize</vt:lpstr>
      <vt:lpstr>DudTableInputs</vt:lpstr>
      <vt:lpstr>EmptyA</vt:lpstr>
      <vt:lpstr>EmptyB</vt:lpstr>
      <vt:lpstr>EnergyIndex</vt:lpstr>
      <vt:lpstr>FacadeErrorsA</vt:lpstr>
      <vt:lpstr>FacadeErrorsB</vt:lpstr>
      <vt:lpstr>Factors</vt:lpstr>
      <vt:lpstr>FailedSHGA</vt:lpstr>
      <vt:lpstr>FailedSHGB</vt:lpstr>
      <vt:lpstr>First4Inputs</vt:lpstr>
      <vt:lpstr>GlazingAreaA</vt:lpstr>
      <vt:lpstr>GlazingAreaB</vt:lpstr>
      <vt:lpstr>GlazingPercents</vt:lpstr>
      <vt:lpstr>GlazingPercentsLowR</vt:lpstr>
      <vt:lpstr>Glimit</vt:lpstr>
      <vt:lpstr>Grows</vt:lpstr>
      <vt:lpstr>Gsteps</vt:lpstr>
      <vt:lpstr>Help</vt:lpstr>
      <vt:lpstr>hluNonComplying</vt:lpstr>
      <vt:lpstr>hluNonComplyingLowR</vt:lpstr>
      <vt:lpstr>InputIssues</vt:lpstr>
      <vt:lpstr>LastActive</vt:lpstr>
      <vt:lpstr>LocalErrors</vt:lpstr>
      <vt:lpstr>NoFacade</vt:lpstr>
      <vt:lpstr>NoFacadeLowR</vt:lpstr>
      <vt:lpstr>NoSector</vt:lpstr>
      <vt:lpstr>NoZoneTableActive</vt:lpstr>
      <vt:lpstr>number_of_rows_preferred_in_table_below</vt:lpstr>
      <vt:lpstr>NumberActive</vt:lpstr>
      <vt:lpstr>NumberActiveLowR</vt:lpstr>
      <vt:lpstr>NumberActiveTotal</vt:lpstr>
      <vt:lpstr>NumberListed</vt:lpstr>
      <vt:lpstr>NumberListedLowR</vt:lpstr>
      <vt:lpstr>NumberNonComplying</vt:lpstr>
      <vt:lpstr>NumberNonComplyingLowR</vt:lpstr>
      <vt:lpstr>Orientations</vt:lpstr>
      <vt:lpstr>OrphanElements</vt:lpstr>
      <vt:lpstr>OrphanElementsA</vt:lpstr>
      <vt:lpstr>OrphanElementsB</vt:lpstr>
      <vt:lpstr>OutcomesBanner</vt:lpstr>
      <vt:lpstr>PoverH</vt:lpstr>
      <vt:lpstr>Calculator!Print_Area</vt:lpstr>
      <vt:lpstr>Help!Print_Area</vt:lpstr>
      <vt:lpstr>Screenshots!Print_Area</vt:lpstr>
      <vt:lpstr>Calculator!Print_Titles</vt:lpstr>
      <vt:lpstr>Screenshots!Print_Titles</vt:lpstr>
      <vt:lpstr>Rows</vt:lpstr>
      <vt:lpstr>RowsActive</vt:lpstr>
      <vt:lpstr>RowsAvailable</vt:lpstr>
      <vt:lpstr>RowsDisplayed</vt:lpstr>
      <vt:lpstr>RowsOK</vt:lpstr>
      <vt:lpstr>RowsPreferred</vt:lpstr>
      <vt:lpstr>RowsSkipped</vt:lpstr>
      <vt:lpstr>RowsWithData</vt:lpstr>
      <vt:lpstr>ScrS1</vt:lpstr>
      <vt:lpstr>ScrS2</vt:lpstr>
      <vt:lpstr>ScrS3</vt:lpstr>
      <vt:lpstr>SectorFaced</vt:lpstr>
      <vt:lpstr>SectorFacedLowR</vt:lpstr>
      <vt:lpstr>Sectors</vt:lpstr>
      <vt:lpstr>ShadingC</vt:lpstr>
      <vt:lpstr>ShadingH</vt:lpstr>
      <vt:lpstr>ShowPass</vt:lpstr>
      <vt:lpstr>ShowPassCond</vt:lpstr>
      <vt:lpstr>SSDisplay</vt:lpstr>
      <vt:lpstr>SSEditing</vt:lpstr>
      <vt:lpstr>SSErrors</vt:lpstr>
      <vt:lpstr>Storey</vt:lpstr>
      <vt:lpstr>SurplusGlazing</vt:lpstr>
      <vt:lpstr>SurplusGlazingA</vt:lpstr>
      <vt:lpstr>SurplusGlazingB</vt:lpstr>
      <vt:lpstr>TableEntries</vt:lpstr>
      <vt:lpstr>TableInputs</vt:lpstr>
      <vt:lpstr>TopInputsOK</vt:lpstr>
      <vt:lpstr>TopOKwithActive</vt:lpstr>
      <vt:lpstr>UnusedFacades</vt:lpstr>
      <vt:lpstr>UnusedFacadesA</vt:lpstr>
      <vt:lpstr>UnusedFacadesB</vt:lpstr>
      <vt:lpstr>ValidApplications</vt:lpstr>
      <vt:lpstr>VisibleFailures</vt:lpstr>
      <vt:lpstr>Zone</vt:lpstr>
      <vt:lpstr>ZoneConstants</vt:lpstr>
      <vt:lpstr>ZoneIndex</vt:lpstr>
      <vt:lpstr>ZoneIndexLowR</vt:lpstr>
    </vt:vector>
  </TitlesOfParts>
  <Company>ABCB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Volume One</dc:title>
  <dc:subject>Glazing Calculator for BCA 2010 Volume One</dc:subject>
  <dc:creator>Australain Building Codes Board</dc:creator>
  <cp:keywords>energy,glazing,calculator,commercial</cp:keywords>
  <cp:lastModifiedBy>Clarke, Sophie</cp:lastModifiedBy>
  <cp:lastPrinted>2013-04-30T23:36:49Z</cp:lastPrinted>
  <dcterms:created xsi:type="dcterms:W3CDTF">2004-11-09T01:00:42Z</dcterms:created>
  <dcterms:modified xsi:type="dcterms:W3CDTF">2013-05-07T22:51:23Z</dcterms:modified>
  <cp:category>energy,glazing,calculator,commercial</cp:category>
</cp:coreProperties>
</file>